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P:\Health Intelligence\Information services\Requests\Smoking\Smoking prevalence projections\2017\Web ready\"/>
    </mc:Choice>
  </mc:AlternateContent>
  <workbookProtection workbookAlgorithmName="SHA-512" workbookHashValue="dQlbw1fdZMOGpIEFnejQM8FEtzThz7TTeBOCIIgdLFJ0Xp+5z80O1y/MIHfVWbqQplDBqpseTlSKbibrVnF+6w==" workbookSaltValue="R7femZQkwwNn06FhvC4aQw==" workbookSpinCount="100000" lockStructure="1"/>
  <bookViews>
    <workbookView showSheetTabs="0" xWindow="-15" yWindow="-15" windowWidth="14520" windowHeight="8100" tabRatio="858"/>
  </bookViews>
  <sheets>
    <sheet name="Intro" sheetId="35" r:id="rId1"/>
    <sheet name="Tab2" sheetId="36" r:id="rId2"/>
    <sheet name="WHS output" sheetId="62" r:id="rId3"/>
    <sheet name="TechGuide" sheetId="40" r:id="rId4"/>
    <sheet name="InterpretGuide" sheetId="41" r:id="rId5"/>
    <sheet name="CopyingInstruct" sheetId="42" r:id="rId6"/>
    <sheet name="NSW Controls" sheetId="48" state="hidden" r:id="rId7"/>
    <sheet name="NSW Calculations" sheetId="49" state="hidden" r:id="rId8"/>
    <sheet name="NSW Projections data for calcs" sheetId="54" state="hidden" r:id="rId9"/>
    <sheet name="WHS Controls" sheetId="63" state="hidden" r:id="rId10"/>
    <sheet name="WHS Projections data for calcs" sheetId="65" state="hidden" r:id="rId11"/>
    <sheet name="WHS Calculations" sheetId="64" state="hidden" r:id="rId12"/>
    <sheet name="Smoking data" sheetId="51" state="hidden" r:id="rId13"/>
    <sheet name="WHS Wales smoking data" sheetId="52" state="hidden" r:id="rId14"/>
    <sheet name="WHS Health Board Smoking data" sheetId="53" state="hidden" r:id="rId15"/>
    <sheet name="HB pop projections" sheetId="55" state="hidden" r:id="rId16"/>
    <sheet name="HB pop 16+" sheetId="56" state="hidden" r:id="rId17"/>
    <sheet name="HB pop aged 15" sheetId="57" state="hidden" r:id="rId18"/>
  </sheets>
  <definedNames>
    <definedName name="_Sort" localSheetId="5" hidden="1">#REF!</definedName>
    <definedName name="_Sort" localSheetId="4" hidden="1">#REF!</definedName>
    <definedName name="_Sort" localSheetId="1" hidden="1">#REF!</definedName>
    <definedName name="_Sort" localSheetId="3" hidden="1">#REF!</definedName>
    <definedName name="_Sort" localSheetId="2" hidden="1">#REF!</definedName>
    <definedName name="_Sort" localSheetId="10" hidden="1">#REF!</definedName>
    <definedName name="_Sort" hidden="1">#REF!</definedName>
    <definedName name="_xlnm.Print_Area" localSheetId="14">'WHS Health Board Smoking data'!$A$1:$M$41</definedName>
    <definedName name="_xlnm.Print_Area" localSheetId="13">'WHS Wales smoking data'!$A$1:$N$51</definedName>
  </definedNames>
  <calcPr calcId="162913"/>
</workbook>
</file>

<file path=xl/calcChain.xml><?xml version="1.0" encoding="utf-8"?>
<calcChain xmlns="http://schemas.openxmlformats.org/spreadsheetml/2006/main">
  <c r="A25" i="63" l="1"/>
  <c r="B72" i="63" s="1"/>
  <c r="K13" i="62" l="1"/>
  <c r="K42" i="64" l="1"/>
  <c r="A42" i="64"/>
  <c r="K41" i="64"/>
  <c r="A41" i="64"/>
  <c r="K40" i="64"/>
  <c r="A40" i="64"/>
  <c r="K34" i="62" s="1"/>
  <c r="K39" i="64"/>
  <c r="A39" i="64"/>
  <c r="K33" i="62" s="1"/>
  <c r="K38" i="64"/>
  <c r="A38" i="64"/>
  <c r="K37" i="64"/>
  <c r="A37" i="64"/>
  <c r="K36" i="64"/>
  <c r="A36" i="64"/>
  <c r="K30" i="62" s="1"/>
  <c r="K35" i="64"/>
  <c r="A35" i="64"/>
  <c r="K29" i="62" s="1"/>
  <c r="K34" i="64"/>
  <c r="A34" i="64"/>
  <c r="K28" i="62" s="1"/>
  <c r="K33" i="64"/>
  <c r="A33" i="64"/>
  <c r="K32" i="64"/>
  <c r="A32" i="64"/>
  <c r="K31" i="64"/>
  <c r="A31" i="64"/>
  <c r="K25" i="62" s="1"/>
  <c r="K30" i="64"/>
  <c r="A30" i="64"/>
  <c r="K24" i="62" s="1"/>
  <c r="K29" i="64"/>
  <c r="A29" i="64"/>
  <c r="K23" i="62" s="1"/>
  <c r="K28" i="64"/>
  <c r="A28" i="64"/>
  <c r="K27" i="64"/>
  <c r="A27" i="64"/>
  <c r="K26" i="64"/>
  <c r="A26" i="64"/>
  <c r="K20" i="62" s="1"/>
  <c r="K25" i="64"/>
  <c r="A25" i="64"/>
  <c r="K19" i="62" s="1"/>
  <c r="K24" i="64"/>
  <c r="A24" i="64"/>
  <c r="K23" i="64"/>
  <c r="A23" i="64"/>
  <c r="K22" i="64"/>
  <c r="A22" i="64"/>
  <c r="K16" i="62" s="1"/>
  <c r="K21" i="64"/>
  <c r="A21" i="64"/>
  <c r="K15" i="62" s="1"/>
  <c r="K20" i="64"/>
  <c r="A20" i="64"/>
  <c r="K14" i="62" s="1"/>
  <c r="A19" i="64"/>
  <c r="P40" i="63"/>
  <c r="P36" i="63" s="1"/>
  <c r="V11" i="63"/>
  <c r="S11" i="63"/>
  <c r="P11" i="63"/>
  <c r="M11" i="63"/>
  <c r="M18" i="64" s="1"/>
  <c r="J11" i="63"/>
  <c r="G11" i="63"/>
  <c r="I18" i="64" s="1"/>
  <c r="C11" i="63"/>
  <c r="B11" i="63"/>
  <c r="H3" i="64" s="1"/>
  <c r="K36" i="62"/>
  <c r="K35" i="62"/>
  <c r="K32" i="62"/>
  <c r="K31" i="62"/>
  <c r="K27" i="62"/>
  <c r="K26" i="62"/>
  <c r="K22" i="62"/>
  <c r="K21" i="62"/>
  <c r="K18" i="62"/>
  <c r="K17" i="62"/>
  <c r="O20" i="64" l="1"/>
  <c r="O21" i="64" s="1"/>
  <c r="O22" i="64" s="1"/>
  <c r="O23" i="64" s="1"/>
  <c r="O18" i="64"/>
  <c r="O19" i="64"/>
  <c r="I19" i="64"/>
  <c r="M13" i="62" s="1"/>
  <c r="M19" i="64"/>
  <c r="G17" i="64"/>
  <c r="G18" i="64"/>
  <c r="A15" i="64"/>
  <c r="C37" i="65"/>
  <c r="C35" i="65"/>
  <c r="C33" i="65"/>
  <c r="C31" i="65"/>
  <c r="C29" i="65"/>
  <c r="C27" i="65"/>
  <c r="C25" i="65"/>
  <c r="C23" i="65"/>
  <c r="C21" i="65"/>
  <c r="C19" i="65"/>
  <c r="C17" i="65"/>
  <c r="B37" i="65"/>
  <c r="E41" i="64" s="1"/>
  <c r="B35" i="65"/>
  <c r="E39" i="64" s="1"/>
  <c r="B33" i="65"/>
  <c r="E37" i="64" s="1"/>
  <c r="B31" i="65"/>
  <c r="E35" i="64" s="1"/>
  <c r="B29" i="65"/>
  <c r="E33" i="64" s="1"/>
  <c r="B27" i="65"/>
  <c r="E31" i="64" s="1"/>
  <c r="B25" i="65"/>
  <c r="E29" i="64" s="1"/>
  <c r="B23" i="65"/>
  <c r="E27" i="64" s="1"/>
  <c r="B21" i="65"/>
  <c r="E25" i="64" s="1"/>
  <c r="B19" i="65"/>
  <c r="E23" i="64" s="1"/>
  <c r="B17" i="65"/>
  <c r="E21" i="64" s="1"/>
  <c r="C38" i="65"/>
  <c r="C36" i="65"/>
  <c r="C34" i="65"/>
  <c r="C32" i="65"/>
  <c r="C30" i="65"/>
  <c r="C28" i="65"/>
  <c r="C26" i="65"/>
  <c r="C24" i="65"/>
  <c r="C22" i="65"/>
  <c r="C20" i="65"/>
  <c r="C18" i="65"/>
  <c r="C16" i="65"/>
  <c r="B38" i="65"/>
  <c r="E42" i="64" s="1"/>
  <c r="B36" i="65"/>
  <c r="E40" i="64" s="1"/>
  <c r="B34" i="65"/>
  <c r="E38" i="64" s="1"/>
  <c r="B32" i="65"/>
  <c r="E36" i="64" s="1"/>
  <c r="B30" i="65"/>
  <c r="E34" i="64" s="1"/>
  <c r="B28" i="65"/>
  <c r="E32" i="64" s="1"/>
  <c r="B26" i="65"/>
  <c r="E30" i="64" s="1"/>
  <c r="B24" i="65"/>
  <c r="E28" i="64" s="1"/>
  <c r="B16" i="65"/>
  <c r="E20" i="64" s="1"/>
  <c r="B22" i="65"/>
  <c r="E26" i="64" s="1"/>
  <c r="B20" i="65"/>
  <c r="E24" i="64" s="1"/>
  <c r="B18" i="65"/>
  <c r="E22" i="64" s="1"/>
  <c r="B69" i="63"/>
  <c r="K10" i="62" s="1"/>
  <c r="A9" i="64"/>
  <c r="G12" i="64"/>
  <c r="Y12" i="64" s="1"/>
  <c r="X12" i="64" s="1"/>
  <c r="G14" i="64"/>
  <c r="S14" i="64" s="1"/>
  <c r="G10" i="64"/>
  <c r="S10" i="64" s="1"/>
  <c r="A13" i="64"/>
  <c r="G16" i="64"/>
  <c r="A18" i="64"/>
  <c r="A16" i="64"/>
  <c r="A17" i="64"/>
  <c r="G15" i="64"/>
  <c r="A14" i="64"/>
  <c r="G13" i="64"/>
  <c r="A12" i="64"/>
  <c r="G11" i="64"/>
  <c r="A10" i="64"/>
  <c r="G9" i="64"/>
  <c r="A8" i="64"/>
  <c r="B70" i="63" s="1"/>
  <c r="G8" i="64"/>
  <c r="A11" i="64"/>
  <c r="M20" i="64"/>
  <c r="P40" i="48"/>
  <c r="I20" i="64" l="1"/>
  <c r="Y14" i="64"/>
  <c r="X14" i="64" s="1"/>
  <c r="Y10" i="64"/>
  <c r="X10" i="64" s="1"/>
  <c r="S12" i="64"/>
  <c r="I21" i="64"/>
  <c r="M14" i="62"/>
  <c r="T18" i="64"/>
  <c r="Y18" i="64"/>
  <c r="X18" i="64" s="1"/>
  <c r="M21" i="64"/>
  <c r="Y8" i="64"/>
  <c r="X8" i="64" s="1"/>
  <c r="S8" i="64"/>
  <c r="Y11" i="64"/>
  <c r="X11" i="64" s="1"/>
  <c r="S11" i="64"/>
  <c r="S15" i="64"/>
  <c r="Y15" i="64"/>
  <c r="X15" i="64" s="1"/>
  <c r="Y9" i="64"/>
  <c r="X9" i="64" s="1"/>
  <c r="S9" i="64"/>
  <c r="Y13" i="64"/>
  <c r="X13" i="64" s="1"/>
  <c r="S13" i="64"/>
  <c r="Y17" i="64"/>
  <c r="X17" i="64" s="1"/>
  <c r="S17" i="64"/>
  <c r="O24" i="64"/>
  <c r="S16" i="64"/>
  <c r="Y16" i="64"/>
  <c r="X16" i="64" s="1"/>
  <c r="I22" i="64" l="1"/>
  <c r="M15" i="62"/>
  <c r="O25" i="64"/>
  <c r="M22" i="64"/>
  <c r="G98" i="57"/>
  <c r="B15" i="65" s="1"/>
  <c r="E19" i="64" s="1"/>
  <c r="G92" i="57"/>
  <c r="G93" i="57"/>
  <c r="G94" i="57"/>
  <c r="G95" i="57"/>
  <c r="G96" i="57"/>
  <c r="G97" i="57"/>
  <c r="G91" i="57"/>
  <c r="G98" i="56"/>
  <c r="C15" i="65" s="1"/>
  <c r="G92" i="56"/>
  <c r="G93" i="56"/>
  <c r="G94" i="56"/>
  <c r="G95" i="56"/>
  <c r="G96" i="56"/>
  <c r="G97" i="56"/>
  <c r="G91" i="56"/>
  <c r="G10" i="56"/>
  <c r="C4" i="65" s="1"/>
  <c r="G3" i="56"/>
  <c r="G90" i="57"/>
  <c r="B14" i="65" s="1"/>
  <c r="E18" i="64" s="1"/>
  <c r="G89" i="57"/>
  <c r="G88" i="57"/>
  <c r="G87" i="57"/>
  <c r="G86" i="57"/>
  <c r="G85" i="57"/>
  <c r="G84" i="57"/>
  <c r="G83" i="57"/>
  <c r="G82" i="57"/>
  <c r="B13" i="65" s="1"/>
  <c r="G81" i="57"/>
  <c r="G80" i="57"/>
  <c r="G79" i="57"/>
  <c r="G78" i="57"/>
  <c r="G77" i="57"/>
  <c r="G76" i="57"/>
  <c r="G75" i="57"/>
  <c r="G74" i="57"/>
  <c r="B12" i="65" s="1"/>
  <c r="G73" i="57"/>
  <c r="G72" i="57"/>
  <c r="G71" i="57"/>
  <c r="G70" i="57"/>
  <c r="G69" i="57"/>
  <c r="G68" i="57"/>
  <c r="G67" i="57"/>
  <c r="G66" i="57"/>
  <c r="B11" i="65" s="1"/>
  <c r="G65" i="57"/>
  <c r="G64" i="57"/>
  <c r="G63" i="57"/>
  <c r="G62" i="57"/>
  <c r="G61" i="57"/>
  <c r="G60" i="57"/>
  <c r="G59" i="57"/>
  <c r="G58" i="57"/>
  <c r="B10" i="65" s="1"/>
  <c r="G57" i="57"/>
  <c r="G56" i="57"/>
  <c r="G55" i="57"/>
  <c r="G54" i="57"/>
  <c r="G53" i="57"/>
  <c r="G52" i="57"/>
  <c r="G51" i="57"/>
  <c r="G50" i="57"/>
  <c r="B9" i="65" s="1"/>
  <c r="G49" i="57"/>
  <c r="G48" i="57"/>
  <c r="G47" i="57"/>
  <c r="G46" i="57"/>
  <c r="G45" i="57"/>
  <c r="G44" i="57"/>
  <c r="G43" i="57"/>
  <c r="G42" i="57"/>
  <c r="B8" i="65" s="1"/>
  <c r="G41" i="57"/>
  <c r="G40" i="57"/>
  <c r="G39" i="57"/>
  <c r="G38" i="57"/>
  <c r="G37" i="57"/>
  <c r="G36" i="57"/>
  <c r="G35" i="57"/>
  <c r="G34" i="57"/>
  <c r="B7" i="65" s="1"/>
  <c r="G33" i="57"/>
  <c r="G32" i="57"/>
  <c r="G31" i="57"/>
  <c r="G30" i="57"/>
  <c r="G29" i="57"/>
  <c r="G28" i="57"/>
  <c r="G27" i="57"/>
  <c r="G26" i="57"/>
  <c r="B6" i="65" s="1"/>
  <c r="G25" i="57"/>
  <c r="G24" i="57"/>
  <c r="G23" i="57"/>
  <c r="G22" i="57"/>
  <c r="G21" i="57"/>
  <c r="G20" i="57"/>
  <c r="G19" i="57"/>
  <c r="G18" i="57"/>
  <c r="B5" i="65" s="1"/>
  <c r="G17" i="57"/>
  <c r="G16" i="57"/>
  <c r="G15" i="57"/>
  <c r="G14" i="57"/>
  <c r="G13" i="57"/>
  <c r="G12" i="57"/>
  <c r="G11" i="57"/>
  <c r="G10" i="57"/>
  <c r="B4" i="65" s="1"/>
  <c r="G9" i="57"/>
  <c r="G8" i="57"/>
  <c r="G7" i="57"/>
  <c r="G6" i="57"/>
  <c r="G5" i="57"/>
  <c r="G4" i="57"/>
  <c r="G3" i="57"/>
  <c r="G90" i="56"/>
  <c r="C14" i="65" s="1"/>
  <c r="G89" i="56"/>
  <c r="G88" i="56"/>
  <c r="G87" i="56"/>
  <c r="G86" i="56"/>
  <c r="G85" i="56"/>
  <c r="G84" i="56"/>
  <c r="G83" i="56"/>
  <c r="G82" i="56"/>
  <c r="C13" i="65" s="1"/>
  <c r="G81" i="56"/>
  <c r="G80" i="56"/>
  <c r="G79" i="56"/>
  <c r="G78" i="56"/>
  <c r="G77" i="56"/>
  <c r="G76" i="56"/>
  <c r="G75" i="56"/>
  <c r="G74" i="56"/>
  <c r="C12" i="65" s="1"/>
  <c r="G73" i="56"/>
  <c r="G72" i="56"/>
  <c r="G71" i="56"/>
  <c r="G70" i="56"/>
  <c r="G69" i="56"/>
  <c r="G68" i="56"/>
  <c r="G67" i="56"/>
  <c r="G66" i="56"/>
  <c r="C11" i="65" s="1"/>
  <c r="G65" i="56"/>
  <c r="G64" i="56"/>
  <c r="G63" i="56"/>
  <c r="G62" i="56"/>
  <c r="G61" i="56"/>
  <c r="G60" i="56"/>
  <c r="G59" i="56"/>
  <c r="G58" i="56"/>
  <c r="C10" i="65" s="1"/>
  <c r="G57" i="56"/>
  <c r="G56" i="56"/>
  <c r="G55" i="56"/>
  <c r="G54" i="56"/>
  <c r="G53" i="56"/>
  <c r="G52" i="56"/>
  <c r="G51" i="56"/>
  <c r="G50" i="56"/>
  <c r="C9" i="65" s="1"/>
  <c r="G49" i="56"/>
  <c r="G48" i="56"/>
  <c r="G47" i="56"/>
  <c r="G46" i="56"/>
  <c r="G45" i="56"/>
  <c r="G44" i="56"/>
  <c r="G43" i="56"/>
  <c r="G42" i="56"/>
  <c r="C8" i="65" s="1"/>
  <c r="G41" i="56"/>
  <c r="G40" i="56"/>
  <c r="G39" i="56"/>
  <c r="G38" i="56"/>
  <c r="G37" i="56"/>
  <c r="G36" i="56"/>
  <c r="G35" i="56"/>
  <c r="G34" i="56"/>
  <c r="C7" i="65" s="1"/>
  <c r="G33" i="56"/>
  <c r="G32" i="56"/>
  <c r="G31" i="56"/>
  <c r="G30" i="56"/>
  <c r="G29" i="56"/>
  <c r="G28" i="56"/>
  <c r="G27" i="56"/>
  <c r="G26" i="56"/>
  <c r="C6" i="65" s="1"/>
  <c r="G25" i="56"/>
  <c r="G24" i="56"/>
  <c r="G23" i="56"/>
  <c r="G22" i="56"/>
  <c r="G21" i="56"/>
  <c r="G20" i="56"/>
  <c r="G19" i="56"/>
  <c r="G18" i="56"/>
  <c r="C5" i="65" s="1"/>
  <c r="G17" i="56"/>
  <c r="G16" i="56"/>
  <c r="G15" i="56"/>
  <c r="G14" i="56"/>
  <c r="G13" i="56"/>
  <c r="G12" i="56"/>
  <c r="G11" i="56"/>
  <c r="G9" i="56"/>
  <c r="G8" i="56"/>
  <c r="G7" i="56"/>
  <c r="G6" i="56"/>
  <c r="G5" i="56"/>
  <c r="G4" i="56"/>
  <c r="K42" i="49"/>
  <c r="A42" i="49"/>
  <c r="K35" i="36" s="1"/>
  <c r="K41" i="49"/>
  <c r="A41" i="49"/>
  <c r="K34" i="36" s="1"/>
  <c r="K40" i="49"/>
  <c r="A40" i="49"/>
  <c r="K33" i="36" s="1"/>
  <c r="K39" i="49"/>
  <c r="A39" i="49"/>
  <c r="K32" i="36" s="1"/>
  <c r="K38" i="49"/>
  <c r="A38" i="49"/>
  <c r="K31" i="36" s="1"/>
  <c r="K37" i="49"/>
  <c r="A37" i="49"/>
  <c r="K30" i="36" s="1"/>
  <c r="K36" i="49"/>
  <c r="A36" i="49"/>
  <c r="K29" i="36" s="1"/>
  <c r="K35" i="49"/>
  <c r="A35" i="49"/>
  <c r="K28" i="36" s="1"/>
  <c r="K34" i="49"/>
  <c r="A34" i="49"/>
  <c r="K27" i="36" s="1"/>
  <c r="K33" i="49"/>
  <c r="A33" i="49"/>
  <c r="K26" i="36" s="1"/>
  <c r="K32" i="49"/>
  <c r="A32" i="49"/>
  <c r="K25" i="36" s="1"/>
  <c r="K31" i="49"/>
  <c r="A31" i="49"/>
  <c r="K24" i="36" s="1"/>
  <c r="K30" i="49"/>
  <c r="A30" i="49"/>
  <c r="K23" i="36" s="1"/>
  <c r="K29" i="49"/>
  <c r="A29" i="49"/>
  <c r="K22" i="36" s="1"/>
  <c r="K28" i="49"/>
  <c r="A28" i="49"/>
  <c r="K21" i="36" s="1"/>
  <c r="K27" i="49"/>
  <c r="A27" i="49"/>
  <c r="K20" i="36" s="1"/>
  <c r="K26" i="49"/>
  <c r="A26" i="49"/>
  <c r="K19" i="36" s="1"/>
  <c r="K25" i="49"/>
  <c r="A25" i="49"/>
  <c r="K18" i="36" s="1"/>
  <c r="K24" i="49"/>
  <c r="A24" i="49"/>
  <c r="K17" i="36" s="1"/>
  <c r="K23" i="49"/>
  <c r="A23" i="49"/>
  <c r="K16" i="36" s="1"/>
  <c r="K22" i="49"/>
  <c r="A22" i="49"/>
  <c r="K15" i="36" s="1"/>
  <c r="K21" i="49"/>
  <c r="A21" i="49"/>
  <c r="K14" i="36" s="1"/>
  <c r="K20" i="49"/>
  <c r="A20" i="49"/>
  <c r="K13" i="36" s="1"/>
  <c r="A19" i="49"/>
  <c r="P36" i="48"/>
  <c r="V11" i="48"/>
  <c r="S11" i="48"/>
  <c r="P11" i="48"/>
  <c r="M11" i="48"/>
  <c r="J11" i="48"/>
  <c r="G11" i="48"/>
  <c r="C11" i="48"/>
  <c r="B70" i="48" s="1"/>
  <c r="B11" i="48"/>
  <c r="M23" i="64" l="1"/>
  <c r="O26" i="64"/>
  <c r="I23" i="64"/>
  <c r="M16" i="62"/>
  <c r="I19" i="49"/>
  <c r="O19" i="49"/>
  <c r="O20" i="49" s="1"/>
  <c r="O21" i="49" s="1"/>
  <c r="M19" i="49"/>
  <c r="H3" i="49"/>
  <c r="B69" i="48"/>
  <c r="K10" i="36" s="1"/>
  <c r="M20" i="49"/>
  <c r="I20" i="49"/>
  <c r="M13" i="36" s="1"/>
  <c r="G19" i="49" l="1"/>
  <c r="Y19" i="49" s="1"/>
  <c r="X19" i="49" s="1"/>
  <c r="F39" i="64"/>
  <c r="F35" i="64"/>
  <c r="F31" i="64"/>
  <c r="F27" i="64"/>
  <c r="F23" i="64"/>
  <c r="F19" i="64"/>
  <c r="F15" i="64"/>
  <c r="F11" i="64"/>
  <c r="F42" i="64"/>
  <c r="F40" i="64"/>
  <c r="F38" i="64"/>
  <c r="F36" i="64"/>
  <c r="F34" i="64"/>
  <c r="F32" i="64"/>
  <c r="F30" i="64"/>
  <c r="F28" i="64"/>
  <c r="F26" i="64"/>
  <c r="F24" i="64"/>
  <c r="F22" i="64"/>
  <c r="F20" i="64"/>
  <c r="F18" i="64"/>
  <c r="F16" i="64"/>
  <c r="F14" i="64"/>
  <c r="F12" i="64"/>
  <c r="F10" i="64"/>
  <c r="F8" i="64"/>
  <c r="F41" i="64"/>
  <c r="F37" i="64"/>
  <c r="F33" i="64"/>
  <c r="F29" i="64"/>
  <c r="F25" i="64"/>
  <c r="F21" i="64"/>
  <c r="F17" i="64"/>
  <c r="F13" i="64"/>
  <c r="F9" i="64"/>
  <c r="M24" i="64"/>
  <c r="O27" i="64"/>
  <c r="M17" i="62"/>
  <c r="I24" i="64"/>
  <c r="A16" i="49"/>
  <c r="B22" i="54"/>
  <c r="P26" i="64" s="1"/>
  <c r="G11" i="49"/>
  <c r="Y11" i="49" s="1"/>
  <c r="X11" i="49" s="1"/>
  <c r="B24" i="54"/>
  <c r="B19" i="54"/>
  <c r="P23" i="64" s="1"/>
  <c r="C14" i="54"/>
  <c r="C37" i="54"/>
  <c r="A14" i="49"/>
  <c r="C32" i="54"/>
  <c r="B14" i="54"/>
  <c r="P18" i="64" s="1"/>
  <c r="G10" i="49"/>
  <c r="S10" i="49" s="1"/>
  <c r="C29" i="54"/>
  <c r="G18" i="49"/>
  <c r="Y18" i="49" s="1"/>
  <c r="X18" i="49" s="1"/>
  <c r="B9" i="54"/>
  <c r="B15" i="54"/>
  <c r="P19" i="64" s="1"/>
  <c r="A10" i="49"/>
  <c r="C30" i="54"/>
  <c r="B12" i="54"/>
  <c r="B38" i="54"/>
  <c r="C21" i="54"/>
  <c r="C38" i="54"/>
  <c r="A15" i="49"/>
  <c r="B35" i="54"/>
  <c r="A18" i="49"/>
  <c r="C18" i="54"/>
  <c r="A13" i="49"/>
  <c r="B26" i="54"/>
  <c r="C11" i="54"/>
  <c r="H15" i="64" s="1"/>
  <c r="Q15" i="64" s="1"/>
  <c r="C20" i="54"/>
  <c r="A8" i="49"/>
  <c r="B27" i="54"/>
  <c r="G16" i="49"/>
  <c r="Y16" i="49" s="1"/>
  <c r="X16" i="49" s="1"/>
  <c r="C10" i="54"/>
  <c r="C26" i="54"/>
  <c r="A9" i="49"/>
  <c r="B8" i="54"/>
  <c r="B20" i="54"/>
  <c r="P24" i="64" s="1"/>
  <c r="B34" i="54"/>
  <c r="G14" i="49"/>
  <c r="S14" i="49" s="1"/>
  <c r="C9" i="54"/>
  <c r="C19" i="54"/>
  <c r="C27" i="54"/>
  <c r="C35" i="54"/>
  <c r="C12" i="54"/>
  <c r="C34" i="54"/>
  <c r="A17" i="49"/>
  <c r="B16" i="54"/>
  <c r="P20" i="64" s="1"/>
  <c r="B36" i="54"/>
  <c r="G13" i="49"/>
  <c r="S13" i="49" s="1"/>
  <c r="B7" i="54"/>
  <c r="B17" i="54"/>
  <c r="P21" i="64" s="1"/>
  <c r="B25" i="54"/>
  <c r="B33" i="54"/>
  <c r="C15" i="54"/>
  <c r="G12" i="49"/>
  <c r="S12" i="49" s="1"/>
  <c r="C4" i="54"/>
  <c r="C22" i="54"/>
  <c r="C36" i="54"/>
  <c r="B4" i="54"/>
  <c r="B18" i="54"/>
  <c r="P22" i="64" s="1"/>
  <c r="B30" i="54"/>
  <c r="A12" i="49"/>
  <c r="C7" i="54"/>
  <c r="C17" i="54"/>
  <c r="C25" i="54"/>
  <c r="C33" i="54"/>
  <c r="C8" i="54"/>
  <c r="C28" i="54"/>
  <c r="G15" i="49"/>
  <c r="Y15" i="49" s="1"/>
  <c r="X15" i="49" s="1"/>
  <c r="B10" i="54"/>
  <c r="B32" i="54"/>
  <c r="A11" i="49"/>
  <c r="B5" i="54"/>
  <c r="B13" i="54"/>
  <c r="B23" i="54"/>
  <c r="B31" i="54"/>
  <c r="C16" i="54"/>
  <c r="C5" i="54"/>
  <c r="C13" i="54"/>
  <c r="C23" i="54"/>
  <c r="C31" i="54"/>
  <c r="C6" i="54"/>
  <c r="C24" i="54"/>
  <c r="G8" i="49"/>
  <c r="Y8" i="49" s="1"/>
  <c r="X8" i="49" s="1"/>
  <c r="B6" i="54"/>
  <c r="B28" i="54"/>
  <c r="G9" i="49"/>
  <c r="Y9" i="49" s="1"/>
  <c r="X9" i="49" s="1"/>
  <c r="G17" i="49"/>
  <c r="Y17" i="49" s="1"/>
  <c r="X17" i="49" s="1"/>
  <c r="B11" i="54"/>
  <c r="B21" i="54"/>
  <c r="P25" i="64" s="1"/>
  <c r="B29" i="54"/>
  <c r="B37" i="54"/>
  <c r="T19" i="49"/>
  <c r="O22" i="49"/>
  <c r="N19" i="64" l="1"/>
  <c r="N21" i="64"/>
  <c r="H16" i="64"/>
  <c r="Q16" i="64" s="1"/>
  <c r="H13" i="64"/>
  <c r="Q13" i="64" s="1"/>
  <c r="N23" i="64"/>
  <c r="H8" i="64"/>
  <c r="Q8" i="64" s="1"/>
  <c r="H17" i="64"/>
  <c r="Q17" i="64" s="1"/>
  <c r="H10" i="64"/>
  <c r="Q10" i="64" s="1"/>
  <c r="H12" i="64"/>
  <c r="Q12" i="64" s="1"/>
  <c r="N20" i="64"/>
  <c r="H14" i="64"/>
  <c r="Q14" i="64" s="1"/>
  <c r="N22" i="64"/>
  <c r="H11" i="64"/>
  <c r="Q11" i="64" s="1"/>
  <c r="H9" i="64"/>
  <c r="Q9" i="64" s="1"/>
  <c r="N18" i="64"/>
  <c r="H18" i="64"/>
  <c r="F42" i="49"/>
  <c r="F36" i="49"/>
  <c r="E28" i="49"/>
  <c r="E31" i="49"/>
  <c r="M25" i="64"/>
  <c r="N24" i="64"/>
  <c r="I25" i="64"/>
  <c r="M18" i="62"/>
  <c r="P27" i="64"/>
  <c r="O28" i="64"/>
  <c r="E30" i="49"/>
  <c r="S11" i="49"/>
  <c r="F41" i="49"/>
  <c r="Y10" i="49"/>
  <c r="X10" i="49" s="1"/>
  <c r="E39" i="49"/>
  <c r="S8" i="49"/>
  <c r="Y13" i="49"/>
  <c r="X13" i="49" s="1"/>
  <c r="S15" i="49"/>
  <c r="E26" i="49"/>
  <c r="Y14" i="49"/>
  <c r="X14" i="49" s="1"/>
  <c r="F22" i="49"/>
  <c r="S18" i="49"/>
  <c r="F34" i="49"/>
  <c r="F18" i="49"/>
  <c r="H18" i="49" s="1"/>
  <c r="Q18" i="49" s="1"/>
  <c r="E19" i="49"/>
  <c r="P19" i="49" s="1"/>
  <c r="S9" i="49"/>
  <c r="F24" i="49"/>
  <c r="E23" i="49"/>
  <c r="E42" i="49"/>
  <c r="F33" i="49"/>
  <c r="F25" i="49"/>
  <c r="F15" i="49"/>
  <c r="H15" i="49" s="1"/>
  <c r="Q15" i="49" s="1"/>
  <c r="Y12" i="49"/>
  <c r="X12" i="49" s="1"/>
  <c r="S16" i="49"/>
  <c r="E41" i="49"/>
  <c r="F27" i="49"/>
  <c r="E35" i="49"/>
  <c r="F32" i="49"/>
  <c r="F8" i="49"/>
  <c r="H8" i="49" s="1"/>
  <c r="Q8" i="49" s="1"/>
  <c r="E40" i="49"/>
  <c r="F13" i="49"/>
  <c r="H13" i="49" s="1"/>
  <c r="Q13" i="49" s="1"/>
  <c r="F35" i="49"/>
  <c r="F20" i="49"/>
  <c r="N20" i="49" s="1"/>
  <c r="E34" i="49"/>
  <c r="F26" i="49"/>
  <c r="E37" i="49"/>
  <c r="F38" i="49"/>
  <c r="F23" i="49"/>
  <c r="E24" i="49"/>
  <c r="F14" i="49"/>
  <c r="H14" i="49" s="1"/>
  <c r="Q14" i="49" s="1"/>
  <c r="E25" i="49"/>
  <c r="E32" i="49"/>
  <c r="F10" i="49"/>
  <c r="H10" i="49" s="1"/>
  <c r="Q10" i="49" s="1"/>
  <c r="F9" i="49"/>
  <c r="H9" i="49" s="1"/>
  <c r="Q9" i="49" s="1"/>
  <c r="F37" i="49"/>
  <c r="F40" i="49"/>
  <c r="F19" i="49"/>
  <c r="F31" i="49"/>
  <c r="E38" i="49"/>
  <c r="F30" i="49"/>
  <c r="S17" i="49"/>
  <c r="F21" i="49"/>
  <c r="E22" i="49"/>
  <c r="P22" i="49" s="1"/>
  <c r="E29" i="49"/>
  <c r="F16" i="49"/>
  <c r="H16" i="49" s="1"/>
  <c r="Q16" i="49" s="1"/>
  <c r="F29" i="49"/>
  <c r="E33" i="49"/>
  <c r="F28" i="49"/>
  <c r="F17" i="49"/>
  <c r="H17" i="49" s="1"/>
  <c r="Q17" i="49" s="1"/>
  <c r="E27" i="49"/>
  <c r="E36" i="49"/>
  <c r="F12" i="49"/>
  <c r="H12" i="49" s="1"/>
  <c r="Q12" i="49" s="1"/>
  <c r="F11" i="49"/>
  <c r="H11" i="49" s="1"/>
  <c r="Q11" i="49" s="1"/>
  <c r="E21" i="49"/>
  <c r="P21" i="49" s="1"/>
  <c r="E20" i="49"/>
  <c r="P20" i="49" s="1"/>
  <c r="F39" i="49"/>
  <c r="I21" i="49"/>
  <c r="M14" i="36" s="1"/>
  <c r="M21" i="49"/>
  <c r="O23" i="49"/>
  <c r="L18" i="64" l="1"/>
  <c r="J18" i="64"/>
  <c r="O29" i="64"/>
  <c r="P28" i="64"/>
  <c r="I26" i="64"/>
  <c r="M19" i="62"/>
  <c r="N25" i="64"/>
  <c r="M26" i="64"/>
  <c r="N19" i="49"/>
  <c r="H19" i="49"/>
  <c r="J19" i="49" s="1"/>
  <c r="N13" i="36" s="1"/>
  <c r="O13" i="36" s="1"/>
  <c r="P23" i="49"/>
  <c r="O24" i="49"/>
  <c r="I22" i="49"/>
  <c r="M15" i="36" s="1"/>
  <c r="N21" i="49"/>
  <c r="M22" i="49"/>
  <c r="Q18" i="64" l="1"/>
  <c r="H19" i="64" s="1"/>
  <c r="N13" i="62"/>
  <c r="O13" i="62" s="1"/>
  <c r="O30" i="64"/>
  <c r="P29" i="64"/>
  <c r="N26" i="64"/>
  <c r="M27" i="64"/>
  <c r="I27" i="64"/>
  <c r="M20" i="62"/>
  <c r="L19" i="49"/>
  <c r="Q19" i="49" s="1"/>
  <c r="I23" i="49"/>
  <c r="M16" i="36" s="1"/>
  <c r="N22" i="49"/>
  <c r="M23" i="49"/>
  <c r="P24" i="49"/>
  <c r="O25" i="49"/>
  <c r="G19" i="64" l="1"/>
  <c r="J19" i="64"/>
  <c r="N14" i="62" s="1"/>
  <c r="O14" i="62" s="1"/>
  <c r="L19" i="64"/>
  <c r="I28" i="64"/>
  <c r="M21" i="62"/>
  <c r="O31" i="64"/>
  <c r="P30" i="64"/>
  <c r="N27" i="64"/>
  <c r="M28" i="64"/>
  <c r="G20" i="49"/>
  <c r="Y20" i="49" s="1"/>
  <c r="X20" i="49" s="1"/>
  <c r="H20" i="49"/>
  <c r="J20" i="49" s="1"/>
  <c r="N14" i="36" s="1"/>
  <c r="O14" i="36" s="1"/>
  <c r="O26" i="49"/>
  <c r="P25" i="49"/>
  <c r="I24" i="49"/>
  <c r="M17" i="36" s="1"/>
  <c r="M24" i="49"/>
  <c r="N23" i="49"/>
  <c r="L13" i="62" l="1"/>
  <c r="U19" i="64"/>
  <c r="Y19" i="64"/>
  <c r="X19" i="64" s="1"/>
  <c r="Q19" i="64"/>
  <c r="G20" i="64" s="1"/>
  <c r="I29" i="64"/>
  <c r="M22" i="62"/>
  <c r="M29" i="64"/>
  <c r="N28" i="64"/>
  <c r="P31" i="64"/>
  <c r="O32" i="64"/>
  <c r="U20" i="49"/>
  <c r="L13" i="36"/>
  <c r="L20" i="49"/>
  <c r="Q20" i="49" s="1"/>
  <c r="G21" i="49" s="1"/>
  <c r="Y21" i="49" s="1"/>
  <c r="X21" i="49" s="1"/>
  <c r="M25" i="49"/>
  <c r="N24" i="49"/>
  <c r="O27" i="49"/>
  <c r="P26" i="49"/>
  <c r="I25" i="49"/>
  <c r="M18" i="36" s="1"/>
  <c r="H20" i="64" l="1"/>
  <c r="I30" i="64"/>
  <c r="M23" i="62"/>
  <c r="M30" i="64"/>
  <c r="N29" i="64"/>
  <c r="O33" i="64"/>
  <c r="P32" i="64"/>
  <c r="U21" i="49"/>
  <c r="L14" i="36"/>
  <c r="H21" i="49"/>
  <c r="J21" i="49" s="1"/>
  <c r="N15" i="36" s="1"/>
  <c r="O15" i="36" s="1"/>
  <c r="P27" i="49"/>
  <c r="O28" i="49"/>
  <c r="N25" i="49"/>
  <c r="M26" i="49"/>
  <c r="I26" i="49"/>
  <c r="M19" i="36" s="1"/>
  <c r="L20" i="64" l="1"/>
  <c r="J20" i="64"/>
  <c r="N15" i="62" s="1"/>
  <c r="O15" i="62" s="1"/>
  <c r="L14" i="62"/>
  <c r="Y20" i="64"/>
  <c r="X20" i="64" s="1"/>
  <c r="U20" i="64"/>
  <c r="N30" i="64"/>
  <c r="M31" i="64"/>
  <c r="I31" i="64"/>
  <c r="M24" i="62"/>
  <c r="P33" i="64"/>
  <c r="O34" i="64"/>
  <c r="L21" i="49"/>
  <c r="Q21" i="49" s="1"/>
  <c r="H22" i="49" s="1"/>
  <c r="I27" i="49"/>
  <c r="M20" i="36" s="1"/>
  <c r="P28" i="49"/>
  <c r="O29" i="49"/>
  <c r="N26" i="49"/>
  <c r="M27" i="49"/>
  <c r="Q20" i="64" l="1"/>
  <c r="M32" i="64"/>
  <c r="N31" i="64"/>
  <c r="O35" i="64"/>
  <c r="P34" i="64"/>
  <c r="I32" i="64"/>
  <c r="M25" i="62"/>
  <c r="G22" i="49"/>
  <c r="Y22" i="49" s="1"/>
  <c r="X22" i="49" s="1"/>
  <c r="O30" i="49"/>
  <c r="P29" i="49"/>
  <c r="L22" i="49"/>
  <c r="J22" i="49"/>
  <c r="N16" i="36" s="1"/>
  <c r="O16" i="36" s="1"/>
  <c r="M28" i="49"/>
  <c r="N27" i="49"/>
  <c r="I28" i="49"/>
  <c r="M21" i="36" s="1"/>
  <c r="G21" i="64" l="1"/>
  <c r="H21" i="64"/>
  <c r="I33" i="64"/>
  <c r="M26" i="62"/>
  <c r="O36" i="64"/>
  <c r="P35" i="64"/>
  <c r="M33" i="64"/>
  <c r="N32" i="64"/>
  <c r="U22" i="49"/>
  <c r="L15" i="36"/>
  <c r="Q22" i="49"/>
  <c r="H23" i="49" s="1"/>
  <c r="I29" i="49"/>
  <c r="M22" i="36" s="1"/>
  <c r="O31" i="49"/>
  <c r="P30" i="49"/>
  <c r="M29" i="49"/>
  <c r="N28" i="49"/>
  <c r="J21" i="64" l="1"/>
  <c r="N16" i="62" s="1"/>
  <c r="O16" i="62" s="1"/>
  <c r="L21" i="64"/>
  <c r="L15" i="62"/>
  <c r="U21" i="64"/>
  <c r="Y21" i="64"/>
  <c r="X21" i="64" s="1"/>
  <c r="I34" i="64"/>
  <c r="M27" i="62"/>
  <c r="M34" i="64"/>
  <c r="N33" i="64"/>
  <c r="P36" i="64"/>
  <c r="O37" i="64"/>
  <c r="G23" i="49"/>
  <c r="Y23" i="49" s="1"/>
  <c r="X23" i="49" s="1"/>
  <c r="L23" i="49"/>
  <c r="J23" i="49"/>
  <c r="N17" i="36" s="1"/>
  <c r="O17" i="36" s="1"/>
  <c r="P31" i="49"/>
  <c r="O32" i="49"/>
  <c r="I30" i="49"/>
  <c r="M23" i="36" s="1"/>
  <c r="N29" i="49"/>
  <c r="M30" i="49"/>
  <c r="Q21" i="64" l="1"/>
  <c r="M28" i="62"/>
  <c r="I35" i="64"/>
  <c r="N34" i="64"/>
  <c r="M35" i="64"/>
  <c r="O38" i="64"/>
  <c r="P37" i="64"/>
  <c r="U23" i="49"/>
  <c r="L16" i="36"/>
  <c r="Q23" i="49"/>
  <c r="H24" i="49" s="1"/>
  <c r="N30" i="49"/>
  <c r="M31" i="49"/>
  <c r="P32" i="49"/>
  <c r="O33" i="49"/>
  <c r="I31" i="49"/>
  <c r="M24" i="36" s="1"/>
  <c r="H22" i="64" l="1"/>
  <c r="G22" i="64"/>
  <c r="O39" i="64"/>
  <c r="P38" i="64"/>
  <c r="I36" i="64"/>
  <c r="M29" i="62"/>
  <c r="M36" i="64"/>
  <c r="N35" i="64"/>
  <c r="G24" i="49"/>
  <c r="Y24" i="49" s="1"/>
  <c r="X24" i="49" s="1"/>
  <c r="I32" i="49"/>
  <c r="M25" i="36" s="1"/>
  <c r="O34" i="49"/>
  <c r="P33" i="49"/>
  <c r="L24" i="49"/>
  <c r="J24" i="49"/>
  <c r="N18" i="36" s="1"/>
  <c r="O18" i="36" s="1"/>
  <c r="M32" i="49"/>
  <c r="N31" i="49"/>
  <c r="Y22" i="64" l="1"/>
  <c r="X22" i="64" s="1"/>
  <c r="U22" i="64"/>
  <c r="L16" i="62"/>
  <c r="L22" i="64"/>
  <c r="J22" i="64"/>
  <c r="N17" i="62" s="1"/>
  <c r="O17" i="62" s="1"/>
  <c r="I37" i="64"/>
  <c r="M30" i="62"/>
  <c r="M37" i="64"/>
  <c r="N36" i="64"/>
  <c r="O40" i="64"/>
  <c r="P39" i="64"/>
  <c r="U24" i="49"/>
  <c r="L17" i="36"/>
  <c r="Q24" i="49"/>
  <c r="G25" i="49" s="1"/>
  <c r="Y25" i="49" s="1"/>
  <c r="X25" i="49" s="1"/>
  <c r="M33" i="49"/>
  <c r="N32" i="49"/>
  <c r="I33" i="49"/>
  <c r="M26" i="36" s="1"/>
  <c r="O35" i="49"/>
  <c r="P34" i="49"/>
  <c r="Q22" i="64" l="1"/>
  <c r="H23" i="64" s="1"/>
  <c r="N37" i="64"/>
  <c r="M38" i="64"/>
  <c r="P40" i="64"/>
  <c r="O41" i="64"/>
  <c r="M31" i="62"/>
  <c r="I38" i="64"/>
  <c r="U25" i="49"/>
  <c r="L18" i="36"/>
  <c r="H25" i="49"/>
  <c r="L25" i="49" s="1"/>
  <c r="I34" i="49"/>
  <c r="M27" i="36" s="1"/>
  <c r="N33" i="49"/>
  <c r="M34" i="49"/>
  <c r="P35" i="49"/>
  <c r="O36" i="49"/>
  <c r="G23" i="64" l="1"/>
  <c r="Y23" i="64" s="1"/>
  <c r="X23" i="64" s="1"/>
  <c r="L23" i="64"/>
  <c r="J23" i="64"/>
  <c r="N18" i="62" s="1"/>
  <c r="O18" i="62" s="1"/>
  <c r="M39" i="64"/>
  <c r="N38" i="64"/>
  <c r="P41" i="64"/>
  <c r="O42" i="64"/>
  <c r="P42" i="64" s="1"/>
  <c r="I39" i="64"/>
  <c r="M32" i="62"/>
  <c r="J25" i="49"/>
  <c r="P36" i="49"/>
  <c r="O37" i="49"/>
  <c r="I35" i="49"/>
  <c r="M28" i="36" s="1"/>
  <c r="N34" i="49"/>
  <c r="M35" i="49"/>
  <c r="L17" i="62" l="1"/>
  <c r="U23" i="64"/>
  <c r="Q23" i="64"/>
  <c r="N39" i="64"/>
  <c r="M40" i="64"/>
  <c r="I40" i="64"/>
  <c r="M33" i="62"/>
  <c r="Q25" i="49"/>
  <c r="H26" i="49" s="1"/>
  <c r="L26" i="49" s="1"/>
  <c r="N19" i="36"/>
  <c r="O19" i="36" s="1"/>
  <c r="M36" i="49"/>
  <c r="N35" i="49"/>
  <c r="I36" i="49"/>
  <c r="M29" i="36" s="1"/>
  <c r="O38" i="49"/>
  <c r="P37" i="49"/>
  <c r="H24" i="64" l="1"/>
  <c r="G24" i="64"/>
  <c r="I41" i="64"/>
  <c r="M34" i="62"/>
  <c r="M41" i="64"/>
  <c r="N40" i="64"/>
  <c r="J26" i="49"/>
  <c r="N20" i="36" s="1"/>
  <c r="O20" i="36" s="1"/>
  <c r="G26" i="49"/>
  <c r="Y26" i="49" s="1"/>
  <c r="X26" i="49" s="1"/>
  <c r="O39" i="49"/>
  <c r="P38" i="49"/>
  <c r="M37" i="49"/>
  <c r="N36" i="49"/>
  <c r="I37" i="49"/>
  <c r="M30" i="36" s="1"/>
  <c r="L18" i="62" l="1"/>
  <c r="Y24" i="64"/>
  <c r="X24" i="64" s="1"/>
  <c r="U24" i="64"/>
  <c r="J24" i="64"/>
  <c r="N19" i="62" s="1"/>
  <c r="O19" i="62" s="1"/>
  <c r="L24" i="64"/>
  <c r="M35" i="62"/>
  <c r="I42" i="64"/>
  <c r="N41" i="64"/>
  <c r="M42" i="64"/>
  <c r="N42" i="64" s="1"/>
  <c r="Q26" i="49"/>
  <c r="H27" i="49" s="1"/>
  <c r="J27" i="49" s="1"/>
  <c r="N21" i="36" s="1"/>
  <c r="O21" i="36" s="1"/>
  <c r="U26" i="49"/>
  <c r="L19" i="36"/>
  <c r="N37" i="49"/>
  <c r="M38" i="49"/>
  <c r="I38" i="49"/>
  <c r="M31" i="36" s="1"/>
  <c r="O40" i="49"/>
  <c r="P39" i="49"/>
  <c r="Q24" i="64" l="1"/>
  <c r="H25" i="64" s="1"/>
  <c r="M36" i="62"/>
  <c r="G27" i="49"/>
  <c r="L27" i="49"/>
  <c r="Q27" i="49" s="1"/>
  <c r="H28" i="49" s="1"/>
  <c r="P40" i="49"/>
  <c r="O41" i="49"/>
  <c r="N38" i="49"/>
  <c r="M39" i="49"/>
  <c r="I39" i="49"/>
  <c r="M32" i="36" s="1"/>
  <c r="G25" i="64" l="1"/>
  <c r="U25" i="64" s="1"/>
  <c r="L25" i="64"/>
  <c r="J25" i="64"/>
  <c r="N20" i="62" s="1"/>
  <c r="O20" i="62" s="1"/>
  <c r="U27" i="49"/>
  <c r="Y27" i="49"/>
  <c r="X27" i="49" s="1"/>
  <c r="L20" i="36"/>
  <c r="G28" i="49"/>
  <c r="Y28" i="49" s="1"/>
  <c r="X28" i="49" s="1"/>
  <c r="I40" i="49"/>
  <c r="M33" i="36" s="1"/>
  <c r="N39" i="49"/>
  <c r="M40" i="49"/>
  <c r="O42" i="49"/>
  <c r="P42" i="49" s="1"/>
  <c r="P41" i="49"/>
  <c r="L28" i="49"/>
  <c r="J28" i="49"/>
  <c r="N22" i="36" s="1"/>
  <c r="O22" i="36" s="1"/>
  <c r="L19" i="62" l="1"/>
  <c r="Y25" i="64"/>
  <c r="X25" i="64" s="1"/>
  <c r="Q25" i="64"/>
  <c r="U28" i="49"/>
  <c r="L21" i="36"/>
  <c r="Q28" i="49"/>
  <c r="H29" i="49" s="1"/>
  <c r="M41" i="49"/>
  <c r="N40" i="49"/>
  <c r="I41" i="49"/>
  <c r="M34" i="36" s="1"/>
  <c r="H26" i="64" l="1"/>
  <c r="G26" i="64"/>
  <c r="G29" i="49"/>
  <c r="Y29" i="49" s="1"/>
  <c r="X29" i="49" s="1"/>
  <c r="I42" i="49"/>
  <c r="M35" i="36" s="1"/>
  <c r="L29" i="49"/>
  <c r="J29" i="49"/>
  <c r="N23" i="36" s="1"/>
  <c r="O23" i="36" s="1"/>
  <c r="M42" i="49"/>
  <c r="N42" i="49" s="1"/>
  <c r="N41" i="49"/>
  <c r="Y26" i="64" l="1"/>
  <c r="X26" i="64" s="1"/>
  <c r="U26" i="64"/>
  <c r="L20" i="62"/>
  <c r="J26" i="64"/>
  <c r="N21" i="62" s="1"/>
  <c r="O21" i="62" s="1"/>
  <c r="L26" i="64"/>
  <c r="U29" i="49"/>
  <c r="L22" i="36"/>
  <c r="Q29" i="49"/>
  <c r="G30" i="49" s="1"/>
  <c r="Y30" i="49" s="1"/>
  <c r="X30" i="49" s="1"/>
  <c r="Q26" i="64" l="1"/>
  <c r="G27" i="64" s="1"/>
  <c r="U30" i="49"/>
  <c r="L23" i="36"/>
  <c r="H30" i="49"/>
  <c r="J30" i="49" s="1"/>
  <c r="N24" i="36" s="1"/>
  <c r="O24" i="36" s="1"/>
  <c r="H27" i="64" l="1"/>
  <c r="L27" i="64" s="1"/>
  <c r="U27" i="64"/>
  <c r="Y27" i="64"/>
  <c r="X27" i="64" s="1"/>
  <c r="L21" i="62"/>
  <c r="L30" i="49"/>
  <c r="Q30" i="49" s="1"/>
  <c r="H31" i="49" s="1"/>
  <c r="J27" i="64" l="1"/>
  <c r="N22" i="62" s="1"/>
  <c r="O22" i="62" s="1"/>
  <c r="G31" i="49"/>
  <c r="Y31" i="49" s="1"/>
  <c r="X31" i="49" s="1"/>
  <c r="L31" i="49"/>
  <c r="J31" i="49"/>
  <c r="N25" i="36" s="1"/>
  <c r="O25" i="36" s="1"/>
  <c r="Q27" i="64" l="1"/>
  <c r="H28" i="64" s="1"/>
  <c r="U31" i="49"/>
  <c r="L24" i="36"/>
  <c r="Q31" i="49"/>
  <c r="G32" i="49" s="1"/>
  <c r="Y32" i="49" s="1"/>
  <c r="X32" i="49" s="1"/>
  <c r="G28" i="64" l="1"/>
  <c r="U28" i="64" s="1"/>
  <c r="L28" i="64"/>
  <c r="J28" i="64"/>
  <c r="N23" i="62" s="1"/>
  <c r="O23" i="62" s="1"/>
  <c r="U32" i="49"/>
  <c r="L25" i="36"/>
  <c r="H32" i="49"/>
  <c r="L32" i="49" s="1"/>
  <c r="L22" i="62" l="1"/>
  <c r="Y28" i="64"/>
  <c r="X28" i="64" s="1"/>
  <c r="Q28" i="64"/>
  <c r="J32" i="49"/>
  <c r="G29" i="64" l="1"/>
  <c r="H29" i="64"/>
  <c r="Q32" i="49"/>
  <c r="H33" i="49" s="1"/>
  <c r="L33" i="49" s="1"/>
  <c r="N26" i="36"/>
  <c r="O26" i="36" s="1"/>
  <c r="L29" i="64" l="1"/>
  <c r="J29" i="64"/>
  <c r="N24" i="62" s="1"/>
  <c r="O24" i="62" s="1"/>
  <c r="L23" i="62"/>
  <c r="Y29" i="64"/>
  <c r="X29" i="64" s="1"/>
  <c r="U29" i="64"/>
  <c r="J33" i="49"/>
  <c r="N27" i="36" s="1"/>
  <c r="O27" i="36" s="1"/>
  <c r="G33" i="49"/>
  <c r="Q29" i="64" l="1"/>
  <c r="L26" i="36"/>
  <c r="Y33" i="49"/>
  <c r="X33" i="49" s="1"/>
  <c r="Q33" i="49"/>
  <c r="H34" i="49" s="1"/>
  <c r="J34" i="49" s="1"/>
  <c r="N28" i="36" s="1"/>
  <c r="O28" i="36" s="1"/>
  <c r="U33" i="49"/>
  <c r="H30" i="64" l="1"/>
  <c r="G30" i="64"/>
  <c r="L34" i="49"/>
  <c r="Q34" i="49" s="1"/>
  <c r="G35" i="49" s="1"/>
  <c r="Y35" i="49" s="1"/>
  <c r="X35" i="49" s="1"/>
  <c r="G34" i="49"/>
  <c r="Y30" i="64" l="1"/>
  <c r="X30" i="64" s="1"/>
  <c r="L24" i="62"/>
  <c r="U30" i="64"/>
  <c r="L30" i="64"/>
  <c r="J30" i="64"/>
  <c r="N25" i="62" s="1"/>
  <c r="O25" i="62" s="1"/>
  <c r="L27" i="36"/>
  <c r="Y34" i="49"/>
  <c r="X34" i="49" s="1"/>
  <c r="U34" i="49"/>
  <c r="U35" i="49"/>
  <c r="L28" i="36"/>
  <c r="H35" i="49"/>
  <c r="L35" i="49" s="1"/>
  <c r="Q30" i="64" l="1"/>
  <c r="H31" i="64" s="1"/>
  <c r="J35" i="49"/>
  <c r="G31" i="64" l="1"/>
  <c r="U31" i="64" s="1"/>
  <c r="L31" i="64"/>
  <c r="J31" i="64"/>
  <c r="N26" i="62" s="1"/>
  <c r="O26" i="62" s="1"/>
  <c r="Q35" i="49"/>
  <c r="H36" i="49" s="1"/>
  <c r="J36" i="49" s="1"/>
  <c r="N30" i="36" s="1"/>
  <c r="N29" i="36"/>
  <c r="O29" i="36" s="1"/>
  <c r="Y31" i="64" l="1"/>
  <c r="X31" i="64" s="1"/>
  <c r="L25" i="62"/>
  <c r="Q31" i="64"/>
  <c r="L36" i="49"/>
  <c r="Q36" i="49" s="1"/>
  <c r="G37" i="49" s="1"/>
  <c r="Y37" i="49" s="1"/>
  <c r="X37" i="49" s="1"/>
  <c r="G36" i="49"/>
  <c r="O30" i="36"/>
  <c r="H32" i="64" l="1"/>
  <c r="G32" i="64"/>
  <c r="L29" i="36"/>
  <c r="Y36" i="49"/>
  <c r="X36" i="49" s="1"/>
  <c r="U36" i="49"/>
  <c r="U37" i="49"/>
  <c r="L30" i="36"/>
  <c r="H37" i="49"/>
  <c r="L37" i="49" s="1"/>
  <c r="Y32" i="64" l="1"/>
  <c r="X32" i="64" s="1"/>
  <c r="L26" i="62"/>
  <c r="U32" i="64"/>
  <c r="J32" i="64"/>
  <c r="N27" i="62" s="1"/>
  <c r="O27" i="62" s="1"/>
  <c r="L32" i="64"/>
  <c r="J37" i="49"/>
  <c r="Q32" i="64" l="1"/>
  <c r="H33" i="64" s="1"/>
  <c r="Q37" i="49"/>
  <c r="G38" i="49" s="1"/>
  <c r="Y38" i="49" s="1"/>
  <c r="X38" i="49" s="1"/>
  <c r="N31" i="36"/>
  <c r="O31" i="36" s="1"/>
  <c r="G33" i="64" l="1"/>
  <c r="U33" i="64" s="1"/>
  <c r="J33" i="64"/>
  <c r="N28" i="62" s="1"/>
  <c r="O28" i="62" s="1"/>
  <c r="L33" i="64"/>
  <c r="H38" i="49"/>
  <c r="J38" i="49" s="1"/>
  <c r="N32" i="36" s="1"/>
  <c r="O32" i="36" s="1"/>
  <c r="U38" i="49"/>
  <c r="L31" i="36"/>
  <c r="L27" i="62" l="1"/>
  <c r="Y33" i="64"/>
  <c r="X33" i="64" s="1"/>
  <c r="Q33" i="64"/>
  <c r="G34" i="64" s="1"/>
  <c r="L38" i="49"/>
  <c r="Q38" i="49" s="1"/>
  <c r="H39" i="49" s="1"/>
  <c r="L39" i="49" s="1"/>
  <c r="H34" i="64" l="1"/>
  <c r="L34" i="64" s="1"/>
  <c r="Y34" i="64"/>
  <c r="X34" i="64" s="1"/>
  <c r="U34" i="64"/>
  <c r="L28" i="62"/>
  <c r="J34" i="64"/>
  <c r="N29" i="62" s="1"/>
  <c r="O29" i="62" s="1"/>
  <c r="J39" i="49"/>
  <c r="N33" i="36" s="1"/>
  <c r="O33" i="36" s="1"/>
  <c r="G39" i="49"/>
  <c r="Q34" i="64" l="1"/>
  <c r="U39" i="49"/>
  <c r="Y39" i="49"/>
  <c r="X39" i="49" s="1"/>
  <c r="Q39" i="49"/>
  <c r="G40" i="49" s="1"/>
  <c r="L32" i="36"/>
  <c r="G35" i="64" l="1"/>
  <c r="H35" i="64"/>
  <c r="U40" i="49"/>
  <c r="Y40" i="49"/>
  <c r="X40" i="49" s="1"/>
  <c r="L33" i="36"/>
  <c r="H40" i="49"/>
  <c r="J40" i="49" s="1"/>
  <c r="N34" i="36" s="1"/>
  <c r="O34" i="36" s="1"/>
  <c r="L35" i="64" l="1"/>
  <c r="J35" i="64"/>
  <c r="N30" i="62" s="1"/>
  <c r="O30" i="62" s="1"/>
  <c r="U35" i="64"/>
  <c r="Y35" i="64"/>
  <c r="X35" i="64" s="1"/>
  <c r="L29" i="62"/>
  <c r="L40" i="49"/>
  <c r="Q40" i="49" s="1"/>
  <c r="G41" i="49" s="1"/>
  <c r="Q35" i="64" l="1"/>
  <c r="L34" i="36"/>
  <c r="Y41" i="49"/>
  <c r="X41" i="49" s="1"/>
  <c r="U41" i="49"/>
  <c r="H41" i="49"/>
  <c r="J41" i="49" s="1"/>
  <c r="N35" i="36" s="1"/>
  <c r="O35" i="36" s="1"/>
  <c r="G36" i="64" l="1"/>
  <c r="H36" i="64"/>
  <c r="L41" i="49"/>
  <c r="Q41" i="49" s="1"/>
  <c r="G42" i="49" s="1"/>
  <c r="J36" i="64" l="1"/>
  <c r="N31" i="62" s="1"/>
  <c r="O31" i="62" s="1"/>
  <c r="L36" i="64"/>
  <c r="Y36" i="64"/>
  <c r="X36" i="64" s="1"/>
  <c r="L30" i="62"/>
  <c r="U36" i="64"/>
  <c r="L35" i="36"/>
  <c r="Y42" i="49"/>
  <c r="X42" i="49" s="1"/>
  <c r="X45" i="49" s="1"/>
  <c r="X46" i="49" s="1"/>
  <c r="U42" i="49"/>
  <c r="H42" i="49"/>
  <c r="J42" i="49" s="1"/>
  <c r="Q36" i="64" l="1"/>
  <c r="L42" i="49"/>
  <c r="Q42" i="49" s="1"/>
  <c r="G37" i="64" l="1"/>
  <c r="H37" i="64"/>
  <c r="L37" i="64" l="1"/>
  <c r="J37" i="64"/>
  <c r="N32" i="62" s="1"/>
  <c r="O32" i="62" s="1"/>
  <c r="Y37" i="64"/>
  <c r="X37" i="64" s="1"/>
  <c r="L31" i="62"/>
  <c r="U37" i="64"/>
  <c r="Q37" i="64" l="1"/>
  <c r="H38" i="64" l="1"/>
  <c r="G38" i="64"/>
  <c r="Y38" i="64" l="1"/>
  <c r="X38" i="64" s="1"/>
  <c r="U38" i="64"/>
  <c r="L32" i="62"/>
  <c r="L38" i="64"/>
  <c r="J38" i="64"/>
  <c r="N33" i="62" s="1"/>
  <c r="O33" i="62" s="1"/>
  <c r="Q38" i="64" l="1"/>
  <c r="H39" i="64" s="1"/>
  <c r="G39" i="64" l="1"/>
  <c r="L33" i="62" s="1"/>
  <c r="J39" i="64"/>
  <c r="N34" i="62" s="1"/>
  <c r="O34" i="62" s="1"/>
  <c r="L39" i="64"/>
  <c r="U39" i="64" l="1"/>
  <c r="Y39" i="64"/>
  <c r="X39" i="64" s="1"/>
  <c r="Q39" i="64"/>
  <c r="G40" i="64" s="1"/>
  <c r="H40" i="64" l="1"/>
  <c r="J40" i="64" s="1"/>
  <c r="N35" i="62" s="1"/>
  <c r="O35" i="62" s="1"/>
  <c r="Y40" i="64"/>
  <c r="X40" i="64" s="1"/>
  <c r="U40" i="64"/>
  <c r="L34" i="62"/>
  <c r="L40" i="64"/>
  <c r="Q40" i="64" l="1"/>
  <c r="H41" i="64" s="1"/>
  <c r="G41" i="64" l="1"/>
  <c r="Y41" i="64" s="1"/>
  <c r="X41" i="64" s="1"/>
  <c r="J41" i="64"/>
  <c r="N36" i="62" s="1"/>
  <c r="O36" i="62" s="1"/>
  <c r="L41" i="64"/>
  <c r="L35" i="62" l="1"/>
  <c r="U41" i="64"/>
  <c r="Q41" i="64"/>
  <c r="G42" i="64" s="1"/>
  <c r="H42" i="64" l="1"/>
  <c r="L42" i="64" s="1"/>
  <c r="L36" i="62"/>
  <c r="Y42" i="64"/>
  <c r="X42" i="64" s="1"/>
  <c r="X45" i="64" s="1"/>
  <c r="X46" i="64" s="1"/>
  <c r="U42" i="64"/>
  <c r="J42" i="64"/>
  <c r="Q42" i="64" l="1"/>
</calcChain>
</file>

<file path=xl/comments1.xml><?xml version="1.0" encoding="utf-8"?>
<comments xmlns="http://schemas.openxmlformats.org/spreadsheetml/2006/main">
  <authors>
    <author>Arthur Duncan-Jones</author>
  </authors>
  <commentList>
    <comment ref="D12" authorId="0" shapeId="0">
      <text>
        <r>
          <rPr>
            <b/>
            <sz val="8"/>
            <color indexed="81"/>
            <rFont val="Verdana"/>
            <family val="2"/>
          </rPr>
          <t xml:space="preserve">Starting value:
</t>
        </r>
        <r>
          <rPr>
            <sz val="8"/>
            <color indexed="81"/>
            <rFont val="Verdana"/>
            <family val="2"/>
          </rPr>
          <t>This is the level felt to best represent the current situation. The default values are the best guesses of the Wales values. Health boards will need to consider altering these according to local conditions.</t>
        </r>
      </text>
    </comment>
    <comment ref="E12" authorId="0" shapeId="0">
      <text>
        <r>
          <rPr>
            <b/>
            <sz val="8"/>
            <color indexed="81"/>
            <rFont val="Verdana"/>
            <family val="2"/>
          </rPr>
          <t xml:space="preserve">Annual change:
</t>
        </r>
        <r>
          <rPr>
            <sz val="8"/>
            <color indexed="81"/>
            <rFont val="Verdana"/>
            <family val="2"/>
          </rPr>
          <t>This is the year on year change in the starting values expected or hoped for. The default values are no change. Health boards will need to consider altering these according to local conditions.</t>
        </r>
      </text>
    </comment>
    <comment ref="F12" authorId="0" shapeId="0">
      <text>
        <r>
          <rPr>
            <b/>
            <sz val="8"/>
            <color indexed="81"/>
            <rFont val="Verdana"/>
            <family val="2"/>
          </rPr>
          <t xml:space="preserve">Maximum value:
</t>
        </r>
        <r>
          <rPr>
            <sz val="8"/>
            <color indexed="81"/>
            <rFont val="Verdana"/>
            <family val="2"/>
          </rPr>
          <t>This is the ceiling for the quit rate. The default value is 5.0% as the expectation is that the quit rate will never exceed a certain level. However, a no limit option has been included. A minimum quit rate has been set to 0.5%.</t>
        </r>
      </text>
    </comment>
    <comment ref="B15" authorId="0" shapeId="0">
      <text>
        <r>
          <rPr>
            <b/>
            <sz val="8"/>
            <color indexed="81"/>
            <rFont val="Verdana"/>
            <family val="2"/>
          </rPr>
          <t xml:space="preserve">16+ population quitting: </t>
        </r>
        <r>
          <rPr>
            <sz val="8"/>
            <color indexed="81"/>
            <rFont val="Verdana"/>
            <family val="2"/>
          </rPr>
          <t>This should represent the total proportion of smokers quitting using any service or self quitting.</t>
        </r>
      </text>
    </comment>
    <comment ref="C16" authorId="0" shapeId="0">
      <text>
        <r>
          <rPr>
            <b/>
            <sz val="8"/>
            <color indexed="81"/>
            <rFont val="Verdana"/>
            <family val="2"/>
          </rPr>
          <t>Smoking-attributable deaths:</t>
        </r>
        <r>
          <rPr>
            <sz val="8"/>
            <color indexed="81"/>
            <rFont val="Verdana"/>
            <family val="2"/>
          </rPr>
          <t xml:space="preserve">
The estimated percentage of the smoking population who die from a smoking-attributable disease each year.</t>
        </r>
      </text>
    </comment>
  </commentList>
</comments>
</file>

<file path=xl/comments2.xml><?xml version="1.0" encoding="utf-8"?>
<comments xmlns="http://schemas.openxmlformats.org/spreadsheetml/2006/main">
  <authors>
    <author>Arthur Duncan-Jones</author>
  </authors>
  <commentList>
    <comment ref="D12" authorId="0" shapeId="0">
      <text>
        <r>
          <rPr>
            <b/>
            <sz val="8"/>
            <color indexed="81"/>
            <rFont val="Verdana"/>
            <family val="2"/>
          </rPr>
          <t xml:space="preserve">Starting value:
</t>
        </r>
        <r>
          <rPr>
            <sz val="8"/>
            <color indexed="81"/>
            <rFont val="Verdana"/>
            <family val="2"/>
          </rPr>
          <t>This is the level felt to best represent the current situation. The default values are the best guesses of the Wales values. Health boards will need to consider altering these according to local conditions.</t>
        </r>
      </text>
    </comment>
    <comment ref="E12" authorId="0" shapeId="0">
      <text>
        <r>
          <rPr>
            <b/>
            <sz val="8"/>
            <color indexed="81"/>
            <rFont val="Verdana"/>
            <family val="2"/>
          </rPr>
          <t xml:space="preserve">Annual change:
</t>
        </r>
        <r>
          <rPr>
            <sz val="8"/>
            <color indexed="81"/>
            <rFont val="Verdana"/>
            <family val="2"/>
          </rPr>
          <t>This is the year on year change in the starting values expected or hoped for. The default values are no change. Health boards will need to consider altering these according to local conditions.</t>
        </r>
      </text>
    </comment>
    <comment ref="F12" authorId="0" shapeId="0">
      <text>
        <r>
          <rPr>
            <b/>
            <sz val="8"/>
            <color indexed="81"/>
            <rFont val="Verdana"/>
            <family val="2"/>
          </rPr>
          <t xml:space="preserve">Maximum value:
</t>
        </r>
        <r>
          <rPr>
            <sz val="8"/>
            <color indexed="81"/>
            <rFont val="Verdana"/>
            <family val="2"/>
          </rPr>
          <t>This is the ceiling for the quit rate. The default value is 5.0% as the expectation is that the quit rate will never exceed a certain level. However, a no limit option has been included. A minimum quit rate has been set to 0.5%</t>
        </r>
      </text>
    </comment>
    <comment ref="B15" authorId="0" shapeId="0">
      <text>
        <r>
          <rPr>
            <b/>
            <sz val="8"/>
            <color indexed="81"/>
            <rFont val="Verdana"/>
            <family val="2"/>
          </rPr>
          <t xml:space="preserve">16+ population quitting: </t>
        </r>
        <r>
          <rPr>
            <sz val="8"/>
            <color indexed="81"/>
            <rFont val="Verdana"/>
            <family val="2"/>
          </rPr>
          <t>This should represent the total proportion of smokers quitting using any service or self quitting.</t>
        </r>
      </text>
    </comment>
    <comment ref="C16" authorId="0" shapeId="0">
      <text>
        <r>
          <rPr>
            <b/>
            <sz val="8"/>
            <color indexed="81"/>
            <rFont val="Verdana"/>
            <family val="2"/>
          </rPr>
          <t>Smoking-attributable deaths:</t>
        </r>
        <r>
          <rPr>
            <sz val="8"/>
            <color indexed="81"/>
            <rFont val="Verdana"/>
            <family val="2"/>
          </rPr>
          <t xml:space="preserve">
The estimated percentage of the smoking population who die from a smoking-attributable disease each year.</t>
        </r>
      </text>
    </comment>
  </commentList>
</comments>
</file>

<file path=xl/sharedStrings.xml><?xml version="1.0" encoding="utf-8"?>
<sst xmlns="http://schemas.openxmlformats.org/spreadsheetml/2006/main" count="1271" uniqueCount="339">
  <si>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</si>
  <si>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</si>
  <si>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</si>
  <si>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</si>
  <si>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</si>
  <si>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</si>
  <si>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</si>
  <si>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</si>
  <si>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</si>
  <si>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</si>
  <si>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</si>
  <si>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</si>
  <si>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</si>
  <si>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</si>
  <si>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</si>
  <si>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</si>
  <si>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</si>
  <si>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</si>
  <si>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</si>
  <si>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Notes</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</si>
  <si>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</si>
  <si>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</si>
  <si>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 2017 Public Health Wales NHS Trust</t>
  </si>
  <si>
    <t>THIS SHEET PROVIDES THE RANGE OF VALUES FOR THE PULL-DOWN BOXES AND THE CHOSEN VALUES FOR THE CALCULATION SHEET</t>
  </si>
  <si>
    <t>Starting values</t>
  </si>
  <si>
    <t>Annual changes</t>
  </si>
  <si>
    <t>Area selection</t>
  </si>
  <si>
    <t>16+ population quitting (default is 2.5%)</t>
  </si>
  <si>
    <t>15 year olds already smoking (default is 8.5%)</t>
  </si>
  <si>
    <t>16+ year olds starting to smoke (default is 0.2%)</t>
  </si>
  <si>
    <t>16+ population quitting (default is no change)</t>
  </si>
  <si>
    <t>16+ year olds starting to smoke (default is no change)</t>
  </si>
  <si>
    <t>15 year olds already smoking (default is no change)</t>
  </si>
  <si>
    <t>Cell link</t>
  </si>
  <si>
    <t>Chosen value</t>
  </si>
  <si>
    <t>Wales</t>
  </si>
  <si>
    <t>2.00% increase</t>
  </si>
  <si>
    <t>0.1% increase</t>
  </si>
  <si>
    <t>1.0% increase</t>
  </si>
  <si>
    <t>Betsi Cadwaladr UHB</t>
  </si>
  <si>
    <t>Betsi Cadwaladr University</t>
  </si>
  <si>
    <t xml:space="preserve"> </t>
  </si>
  <si>
    <t>1.75% increase</t>
  </si>
  <si>
    <t>0.09% increase</t>
  </si>
  <si>
    <t>0.9% increase</t>
  </si>
  <si>
    <t>Powys THB</t>
  </si>
  <si>
    <t>Powys Teaching</t>
  </si>
  <si>
    <t>1.50% increase</t>
  </si>
  <si>
    <t>0.08% increase</t>
  </si>
  <si>
    <t>0.8% increase</t>
  </si>
  <si>
    <t>Hywel Dda UHB</t>
  </si>
  <si>
    <t>Hywel Dda</t>
  </si>
  <si>
    <t>1.25% increase</t>
  </si>
  <si>
    <t>0.07% increase</t>
  </si>
  <si>
    <t>0.7% increase</t>
  </si>
  <si>
    <t>Abertawe Bro Morgannwg UHB</t>
  </si>
  <si>
    <t>Abertawe Bro Morgannwg University</t>
  </si>
  <si>
    <t>1.00% increase</t>
  </si>
  <si>
    <t>0.06% increase</t>
  </si>
  <si>
    <t>0.6% increase</t>
  </si>
  <si>
    <t>Cardiff &amp; Vale UHB</t>
  </si>
  <si>
    <t>Cardiff &amp; Vale University</t>
  </si>
  <si>
    <t>0.75% increase</t>
  </si>
  <si>
    <t>0.05% increase</t>
  </si>
  <si>
    <t>0.5% increase</t>
  </si>
  <si>
    <t>Cwm Taf UHB</t>
  </si>
  <si>
    <t>Cwm Taf</t>
  </si>
  <si>
    <t>0.50% increase</t>
  </si>
  <si>
    <t>0.04% increase</t>
  </si>
  <si>
    <t>0.4% increase</t>
  </si>
  <si>
    <t>Aneurin Bevan UHB</t>
  </si>
  <si>
    <t>Aneurin Bevan</t>
  </si>
  <si>
    <t>0.25% increase</t>
  </si>
  <si>
    <t>0.03% increase</t>
  </si>
  <si>
    <t>0.3% increase</t>
  </si>
  <si>
    <t>no change (default)</t>
  </si>
  <si>
    <t>0.02% increase</t>
  </si>
  <si>
    <t>0.2% increase</t>
  </si>
  <si>
    <t>0.25% decrease</t>
  </si>
  <si>
    <t>0.01% increase</t>
  </si>
  <si>
    <t>0.5% decrease</t>
  </si>
  <si>
    <t>0.75% decrease</t>
  </si>
  <si>
    <t>0.01% decrease</t>
  </si>
  <si>
    <t>0.1% decrease</t>
  </si>
  <si>
    <t>1.00% decrease</t>
  </si>
  <si>
    <t>0.02% decrease</t>
  </si>
  <si>
    <t>0.2% decrease</t>
  </si>
  <si>
    <t>1.25% decrease</t>
  </si>
  <si>
    <t>0.03% decrease</t>
  </si>
  <si>
    <t>0.3% decrease</t>
  </si>
  <si>
    <t>0.04% decrease</t>
  </si>
  <si>
    <t>0.4% decrease</t>
  </si>
  <si>
    <t>1.75% decrease</t>
  </si>
  <si>
    <t>0.05% decrease</t>
  </si>
  <si>
    <t>2.00% decrease</t>
  </si>
  <si>
    <t>0.06% decrease</t>
  </si>
  <si>
    <t>0.6% decrease</t>
  </si>
  <si>
    <t>8.5% (default)</t>
  </si>
  <si>
    <t>0.07% decrease</t>
  </si>
  <si>
    <t>0.7% decrease</t>
  </si>
  <si>
    <t>0.08% decrease</t>
  </si>
  <si>
    <t>0.8% decrease</t>
  </si>
  <si>
    <t>0.09% decrease</t>
  </si>
  <si>
    <t>0.9% decrease</t>
  </si>
  <si>
    <t>0.20% (default)</t>
  </si>
  <si>
    <t>1.0% decrease</t>
  </si>
  <si>
    <t>Upper limit</t>
  </si>
  <si>
    <t xml:space="preserve">Lower limit </t>
  </si>
  <si>
    <t>2.5% (default)</t>
  </si>
  <si>
    <t>No limit</t>
  </si>
  <si>
    <t>Chart title</t>
  </si>
  <si>
    <t>THIS SHEET PRODUCES THE PROJECTION VALUES BASED ON THE USER INPUTS IN THE INTERACTIVE CHART ITSELF</t>
  </si>
  <si>
    <t>Calculation of projected smoking prevalences</t>
  </si>
  <si>
    <t>POPULATION ESTIMATES</t>
  </si>
  <si>
    <t>SMOKING PREVALENCE</t>
  </si>
  <si>
    <t>LEAVERS</t>
  </si>
  <si>
    <t>STARTERS</t>
  </si>
  <si>
    <t>NET SMOKERS</t>
  </si>
  <si>
    <t>year</t>
  </si>
  <si>
    <t>16+</t>
  </si>
  <si>
    <t>quitters</t>
  </si>
  <si>
    <t>deaths</t>
  </si>
  <si>
    <t>16+ year olds</t>
  </si>
  <si>
    <t>15 year olds</t>
  </si>
  <si>
    <t>chart x-axis</t>
  </si>
  <si>
    <t>Health Board</t>
  </si>
  <si>
    <t>n</t>
  </si>
  <si>
    <t>%</t>
  </si>
  <si>
    <t>2004/05</t>
  </si>
  <si>
    <t>2003/04 &amp; 2004/05</t>
  </si>
  <si>
    <t>2005/06</t>
  </si>
  <si>
    <t>2004/05 &amp; 2005/06</t>
  </si>
  <si>
    <t>2005/06 &amp; 2007</t>
  </si>
  <si>
    <t>2007 &amp; 2008</t>
  </si>
  <si>
    <t>2008 &amp; 2009</t>
  </si>
  <si>
    <t>2009 &amp; 2010</t>
  </si>
  <si>
    <t>2010 &amp; 2011</t>
  </si>
  <si>
    <t>2011 &amp; 2012</t>
  </si>
  <si>
    <t>2012 &amp; 2013</t>
  </si>
  <si>
    <t>2013 &amp; 2014</t>
  </si>
  <si>
    <t>2014 &amp; 2015</t>
  </si>
  <si>
    <t>Age 15</t>
  </si>
  <si>
    <t>2005/06-2007 (b)</t>
  </si>
  <si>
    <t xml:space="preserve">2007&amp;08 </t>
  </si>
  <si>
    <t>2008&amp;09</t>
  </si>
  <si>
    <t>2009&amp;10</t>
  </si>
  <si>
    <t>2010&amp;11</t>
  </si>
  <si>
    <t>2011&amp;12</t>
  </si>
  <si>
    <t>2012&amp;13</t>
  </si>
  <si>
    <t>2013&amp;14</t>
  </si>
  <si>
    <t>2014&amp;15</t>
  </si>
  <si>
    <t>2007(b)</t>
  </si>
  <si>
    <t>Table 1: Adults who reported being a current smoker (a)</t>
  </si>
  <si>
    <t>Trends by age and sex</t>
  </si>
  <si>
    <t>Unweighted base (c)</t>
  </si>
  <si>
    <t>Per cent</t>
  </si>
  <si>
    <t>2003/04</t>
  </si>
  <si>
    <t>Men</t>
  </si>
  <si>
    <t>16-44</t>
  </si>
  <si>
    <t>45-64</t>
  </si>
  <si>
    <t>65+</t>
  </si>
  <si>
    <t>men aged 16+</t>
  </si>
  <si>
    <t>Women</t>
  </si>
  <si>
    <t>women aged 16+</t>
  </si>
  <si>
    <t>All persons</t>
  </si>
  <si>
    <t>all aged 16+</t>
  </si>
  <si>
    <t>Age standardised trends by socio-economic classification of household reference person (NS-SEC)</t>
  </si>
  <si>
    <t>Managerial and professional</t>
  </si>
  <si>
    <t>Intermediate</t>
  </si>
  <si>
    <t>Routine and manual</t>
  </si>
  <si>
    <t>Never worked and long term unemployed</t>
  </si>
  <si>
    <t>Age standardised trends by Welsh Index of Multiple Deprivation quintile (WIMD)</t>
  </si>
  <si>
    <t>1 (least deprived)</t>
  </si>
  <si>
    <t>5 (most deprived)</t>
  </si>
  <si>
    <t xml:space="preserve">Age standardised trends for Wales </t>
  </si>
  <si>
    <t>all aged 16+ (age standardised) (d)</t>
  </si>
  <si>
    <t>(a) See definitions at the start of the worksheet.</t>
  </si>
  <si>
    <t>(b) From 2007 the fieldwork ran on a calendar year basis.</t>
  </si>
  <si>
    <t>(c) Bases vary: those shown are for the whole sample.</t>
  </si>
  <si>
    <t>(d) Age-standardised totals may differ slightly from the observed totals shown elsewhere.</t>
  </si>
  <si>
    <t>Table 2 Adults who reported being a current smoker (observed) (a)</t>
  </si>
  <si>
    <t>Welsh Health Survey Year</t>
  </si>
  <si>
    <t>Local authority:</t>
  </si>
  <si>
    <t>Code:</t>
  </si>
  <si>
    <t>Isle of Anglesey</t>
  </si>
  <si>
    <t>W06000001</t>
  </si>
  <si>
    <t>Gwynedd</t>
  </si>
  <si>
    <t>W06000002</t>
  </si>
  <si>
    <t>Conwy</t>
  </si>
  <si>
    <t>W06000003</t>
  </si>
  <si>
    <t>Denbighshire</t>
  </si>
  <si>
    <t>W06000004</t>
  </si>
  <si>
    <t>Flintshire</t>
  </si>
  <si>
    <t>W06000005</t>
  </si>
  <si>
    <t>Wrexham</t>
  </si>
  <si>
    <t>W06000006</t>
  </si>
  <si>
    <t>Powys</t>
  </si>
  <si>
    <t>W06000023</t>
  </si>
  <si>
    <t>Ceredigion</t>
  </si>
  <si>
    <t>W06000008</t>
  </si>
  <si>
    <t>Pembrokeshire</t>
  </si>
  <si>
    <t>W06000009</t>
  </si>
  <si>
    <t>Carmarthenshire</t>
  </si>
  <si>
    <t>W06000010</t>
  </si>
  <si>
    <t>Swansea</t>
  </si>
  <si>
    <t>W06000011</t>
  </si>
  <si>
    <t>Neath Port Talbot</t>
  </si>
  <si>
    <t>W06000012</t>
  </si>
  <si>
    <t>Bridgend</t>
  </si>
  <si>
    <t>W06000013</t>
  </si>
  <si>
    <t>The Vale of Glamorgan</t>
  </si>
  <si>
    <t>W06000014</t>
  </si>
  <si>
    <t>Cardiff</t>
  </si>
  <si>
    <t>W06000015</t>
  </si>
  <si>
    <t>Rhondda Cynon Taf</t>
  </si>
  <si>
    <t>W06000016</t>
  </si>
  <si>
    <t>Merthyr Tydfil</t>
  </si>
  <si>
    <t>W06000024</t>
  </si>
  <si>
    <t>Caerphilly</t>
  </si>
  <si>
    <t>W06000018</t>
  </si>
  <si>
    <t>Blaenau Gwent</t>
  </si>
  <si>
    <t>W06000019</t>
  </si>
  <si>
    <t>Torfaen</t>
  </si>
  <si>
    <t>W06000020</t>
  </si>
  <si>
    <t>Monmouthshire</t>
  </si>
  <si>
    <t>W06000021</t>
  </si>
  <si>
    <t>Newport</t>
  </si>
  <si>
    <t>W06000022</t>
  </si>
  <si>
    <t>Local health board:</t>
  </si>
  <si>
    <t>W11000023</t>
  </si>
  <si>
    <t>W11000025</t>
  </si>
  <si>
    <t>W11000024</t>
  </si>
  <si>
    <t>W11000026</t>
  </si>
  <si>
    <t>W11000027</t>
  </si>
  <si>
    <t>W11000029</t>
  </si>
  <si>
    <t>W11000028</t>
  </si>
  <si>
    <t>W92000004</t>
  </si>
  <si>
    <t>(a)</t>
  </si>
  <si>
    <t>See definitions in the health-related lifestyle statisticial bulletin or on the 'definitions' sheet at the front of this workbook.</t>
  </si>
  <si>
    <t>(b)</t>
  </si>
  <si>
    <t>From 2007 the fieldwork ran on a calendar year basis.</t>
  </si>
  <si>
    <t>THIS SHEET EXTRACTS THE NECESSARY PROJECTIONS DATA TO PROVIDE THE DENOMINATOR FOR THE "CALCULATIONS" SHEET</t>
  </si>
  <si>
    <t>Age 16+</t>
  </si>
  <si>
    <t>HB_name</t>
  </si>
  <si>
    <t>age_quinary</t>
  </si>
  <si>
    <t>aged 15</t>
  </si>
  <si>
    <t>aged 16+</t>
  </si>
  <si>
    <t>From SQL</t>
  </si>
  <si>
    <t>Calcs</t>
  </si>
  <si>
    <t>yr</t>
  </si>
  <si>
    <t>population</t>
  </si>
  <si>
    <t>Cardiff and Vale University</t>
  </si>
  <si>
    <t>National survey for Wales data</t>
  </si>
  <si>
    <t>2016/17</t>
  </si>
  <si>
    <t>Use differences in survey data to highlight how the tool should be used - don't put too much faith in it.</t>
  </si>
  <si>
    <t>Select an area</t>
  </si>
  <si>
    <t>Select your input values (best guess)</t>
  </si>
  <si>
    <t>15 year olds already smoking</t>
  </si>
  <si>
    <t>16+ year olds starting to smoke</t>
  </si>
  <si>
    <t>16+ population quitting</t>
  </si>
  <si>
    <t>Smoking-attributable deaths</t>
  </si>
  <si>
    <t>Starting value</t>
  </si>
  <si>
    <t xml:space="preserve">  0.75% of smokers</t>
  </si>
  <si>
    <t xml:space="preserve">  no change</t>
  </si>
  <si>
    <t>0.10% increase</t>
  </si>
  <si>
    <t>0.10% decrease</t>
  </si>
  <si>
    <t>1.50% decrease</t>
  </si>
  <si>
    <t>0.50% decrease</t>
  </si>
  <si>
    <t xml:space="preserve">  Annual change</t>
  </si>
  <si>
    <t>Chart data</t>
  </si>
  <si>
    <t>WHS data</t>
  </si>
  <si>
    <t>NSW data</t>
  </si>
  <si>
    <t>Estimated data</t>
  </si>
  <si>
    <t>2003/04-04/05</t>
  </si>
  <si>
    <t>2004/05-05/06</t>
  </si>
  <si>
    <t>2007-08</t>
  </si>
  <si>
    <t>2008-09</t>
  </si>
  <si>
    <t>2009-10</t>
  </si>
  <si>
    <t>2010-11</t>
  </si>
  <si>
    <t>2011-12</t>
  </si>
  <si>
    <t>2012-13</t>
  </si>
  <si>
    <t>2013-14</t>
  </si>
  <si>
    <t>2014-15</t>
  </si>
  <si>
    <t>2005/06-07</t>
  </si>
  <si>
    <t>Year</t>
  </si>
  <si>
    <r>
      <t xml:space="preserve">Quit rate </t>
    </r>
    <r>
      <rPr>
        <sz val="8"/>
        <color rgb="FF000080"/>
        <rFont val="Verdana"/>
        <family val="2"/>
      </rPr>
      <t>(%)</t>
    </r>
  </si>
  <si>
    <t>Annual Quitters</t>
  </si>
  <si>
    <t>Cumulative Quitters</t>
  </si>
  <si>
    <t>2020 target</t>
  </si>
  <si>
    <t>16% target year</t>
  </si>
  <si>
    <t>1st year target met</t>
  </si>
  <si>
    <t>Produced by Public Health Wales Observatory, using mid-year estimates &amp; population projections (ONS), HBSC survey, Welsh Health Survey &amp; National Survey for Wales (WG)</t>
  </si>
  <si>
    <t>Table title</t>
  </si>
  <si>
    <t xml:space="preserve">The projections of smoking prevalence are based on the following main factors: </t>
  </si>
  <si>
    <t xml:space="preserve">1. The current estimated number of people who are smoking (the 'smoking population') </t>
  </si>
  <si>
    <t xml:space="preserve">2. The number of people estimated to be leaving the smoking population each year in the future, either because they quit smoking or die from smoking-attributable disease </t>
  </si>
  <si>
    <t xml:space="preserve">3. The number of people estimated to be joining the smoking population each year in the future, having started smoking from age 15 onwards  </t>
  </si>
  <si>
    <t xml:space="preserve">The projections represent a summary of the projected trend, the actual future values are likely to vary year on year by the same extent as the historical values, i.e. they will not fall on a straight line.   </t>
  </si>
  <si>
    <t>Further information on the data sources used and other caveats surrounding the model can be found in the technical guide.</t>
  </si>
  <si>
    <t>http://www.scotland.gov.uk/Resource/0041/00417174.pdf</t>
  </si>
  <si>
    <t>publichealthwalesobservatory@wales.nhs.uk</t>
  </si>
  <si>
    <t>Projections of smoking prevalence are for all Wales residents aged 16 and over. However the projections take account of the numbers of 15 year olds who start smoking each year.</t>
  </si>
  <si>
    <t>Estimated number and percentage of adults that smoke</t>
  </si>
  <si>
    <t>Geography</t>
  </si>
  <si>
    <t>Demography</t>
  </si>
  <si>
    <t>Period</t>
  </si>
  <si>
    <t>Source</t>
  </si>
  <si>
    <t>2003/04 to 2039</t>
  </si>
  <si>
    <r>
      <rPr>
        <b/>
        <sz val="10"/>
        <rFont val="Verdana"/>
        <family val="2"/>
      </rPr>
      <t>16+ smoking prevalence data:</t>
    </r>
    <r>
      <rPr>
        <sz val="10"/>
        <rFont val="Verdana"/>
        <family val="2"/>
      </rPr>
      <t xml:space="preserve"> 
2003/04-2015: Welsh Health Survey, Welsh Government
2016/17: National Survey for Wales, Welsh Government</t>
    </r>
  </si>
  <si>
    <r>
      <rPr>
        <b/>
        <sz val="10"/>
        <rFont val="Verdana"/>
        <family val="2"/>
      </rPr>
      <t xml:space="preserve">15 year olds smoking prevalence data: </t>
    </r>
    <r>
      <rPr>
        <sz val="10"/>
        <rFont val="Verdana"/>
        <family val="2"/>
      </rPr>
      <t xml:space="preserve">
2013/14 Health Behaviour in School-Aged Children Wales, Welsh Government</t>
    </r>
  </si>
  <si>
    <t>Health boards and Wales</t>
  </si>
  <si>
    <t>Statistics</t>
  </si>
  <si>
    <t xml:space="preserve">For all feedback and enquiries regarding the model please e-mail: </t>
  </si>
  <si>
    <t>The projections of smoking prevalence are estimates. They are based on various assumptions which may or may not hold true in the future. The uncertainty of the projections is demonstrated by the fact that they change dramatically as a result of small changes to the user-defined parameters.</t>
  </si>
  <si>
    <t>5.0% (default)</t>
  </si>
  <si>
    <t>Maximum value</t>
  </si>
  <si>
    <t>2016/17 LCL</t>
  </si>
  <si>
    <t>2016/17 UCL</t>
  </si>
  <si>
    <t>Error bars for chart</t>
  </si>
  <si>
    <t>-err</t>
  </si>
  <si>
    <t>+err</t>
  </si>
  <si>
    <t>`</t>
  </si>
  <si>
    <t>Estimated smoking prevalence</t>
  </si>
  <si>
    <t>The annual and cumulative quitters columns have been rounded to the nearest 10 persons</t>
  </si>
  <si>
    <t>This projection estimator indicates how adult smoking prevalence may change until 2039 in Wales and its health boards.</t>
  </si>
  <si>
    <t xml:space="preserve">The tool allows users to apply local knowledge to both the starting values and predicted annual changes for their health board. The default values selected are Wales estimates. </t>
  </si>
  <si>
    <t>The method relies on a number of estimates and is based on work from Scotland:</t>
  </si>
  <si>
    <t>Produced by Public Health Wales Observatory, using mid-year estimates &amp; population projections (ONS), HBSC survey, Welsh Health Survey (WG)</t>
  </si>
  <si>
    <t xml:space="preserve">Two outputs are included, one uses 2016/17 National Survey for Wales smoking data as a reference point and the other uses 2014-15 Welsh Health Survey data. </t>
  </si>
  <si>
    <t>Reference point</t>
  </si>
  <si>
    <r>
      <rPr>
        <b/>
        <sz val="10"/>
        <rFont val="Verdana"/>
        <family val="2"/>
      </rPr>
      <t xml:space="preserve">Population data: </t>
    </r>
    <r>
      <rPr>
        <sz val="10"/>
        <rFont val="Verdana"/>
        <family val="2"/>
      </rPr>
      <t xml:space="preserve">
2003/04 to 2016: Mid year population estimates, Office for National Statistics 
2017 to 2039: Local Authority population projections (2014-based), Office for National Statistics</t>
    </r>
  </si>
  <si>
    <t>Separate outputs have been created using National Survey for Wales (NSW) and Welsh Health Survey (WHS) data respectively. This has been done as there is only one year of NSW smoking data available.</t>
  </si>
  <si>
    <t>For each output, projections are based on the most recent year of survey data and inputs chosen by the user. The NSW output uses 2016/17 data whereas the WHS uses 2014-15 data. The WHS output includes historical data to provide context but this does not impact the projection.</t>
  </si>
  <si>
    <t>A combined output has not been created because the NSW and WHS are not comparable. This is due to methodological and sample size differences.</t>
  </si>
  <si>
    <t>At the health board level, the sample size of the 2016/17 NSW is around 10,500 respondents whereas the 2014-15 WHS sample size is close to 28,000. Extra care should be taken when interpreting the NSW chart due to the small sample size.</t>
  </si>
  <si>
    <t>Further information on the methods used to calculate these projections can be found here:</t>
  </si>
  <si>
    <r>
      <t>The projections of smoking prevalence are estimates. They are based on various assumptions which may or may not hold true in the future. The uncertainty of the projections is demonstrated by the fact that they can change dramatically as a result of changes to the user-defined parameters.</t>
    </r>
    <r>
      <rPr>
        <sz val="10"/>
        <rFont val="Verdana"/>
        <family val="2"/>
      </rPr>
      <t xml:space="preserve"> </t>
    </r>
  </si>
  <si>
    <t>Reference rate</t>
  </si>
  <si>
    <t>Ref rate data label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</si>
</sst>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_);_(* \(#,##0.00\);_(* &quot;-&quot;??_);_(@_)"/>
    <numFmt numFmtId="165" formatCode="0.0"/>
    <numFmt numFmtId="166" formatCode="0.0%"/>
    <numFmt numFmtId="167" formatCode="0.00000"/>
    <numFmt numFmtId="168" formatCode="0.000000"/>
    <numFmt numFmtId="169" formatCode="_-* #,##0_-;\-* #,##0_-;_-* &quot;-&quot;??_-;_-@_-"/>
  </numFmts>
  <fonts count="68"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b/>
      <sz val="10"/>
      <color theme="1"/>
      <name val="Verdana"/>
      <family val="2"/>
    </font>
    <font>
      <u/>
      <sz val="9"/>
      <color theme="10"/>
      <name val="Verdana"/>
      <family val="2"/>
    </font>
    <font>
      <sz val="12"/>
      <name val="Arial"/>
      <family val="2"/>
    </font>
    <font>
      <sz val="10"/>
      <color indexed="8"/>
      <name val="Arial"/>
      <family val="2"/>
    </font>
    <font>
      <b/>
      <sz val="9"/>
      <color theme="1"/>
      <name val="Verdana"/>
      <family val="2"/>
    </font>
    <font>
      <u/>
      <sz val="9.9"/>
      <color theme="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sz val="9"/>
      <color theme="0"/>
      <name val="Verdana"/>
      <family val="2"/>
    </font>
    <font>
      <b/>
      <sz val="11"/>
      <name val="Verdana"/>
      <family val="2"/>
    </font>
    <font>
      <sz val="8"/>
      <color theme="1"/>
      <name val="Verdana"/>
      <family val="2"/>
    </font>
    <font>
      <u/>
      <sz val="9.9"/>
      <color theme="10"/>
      <name val="Verdana"/>
      <family val="2"/>
    </font>
    <font>
      <sz val="9"/>
      <color theme="0" tint="-0.34998626667073579"/>
      <name val="Verdana"/>
      <family val="2"/>
    </font>
    <font>
      <b/>
      <sz val="12"/>
      <name val="Arial"/>
      <family val="2"/>
    </font>
    <font>
      <b/>
      <sz val="10"/>
      <name val="Arial"/>
      <family val="2"/>
    </font>
    <font>
      <i/>
      <sz val="9"/>
      <name val="Arial"/>
      <family val="2"/>
    </font>
    <font>
      <i/>
      <sz val="10"/>
      <name val="Arial"/>
      <family val="2"/>
    </font>
    <font>
      <b/>
      <i/>
      <sz val="10"/>
      <name val="Arial"/>
      <family val="2"/>
    </font>
    <font>
      <sz val="9"/>
      <name val="Arial"/>
      <family val="2"/>
    </font>
    <font>
      <sz val="8"/>
      <name val="Arial"/>
      <family val="2"/>
    </font>
    <font>
      <i/>
      <sz val="8"/>
      <name val="Arial"/>
      <family val="2"/>
    </font>
    <font>
      <sz val="10"/>
      <color theme="1"/>
      <name val="Arial"/>
      <family val="2"/>
    </font>
    <font>
      <i/>
      <sz val="9"/>
      <color indexed="8"/>
      <name val="Arial"/>
      <family val="2"/>
    </font>
    <font>
      <sz val="12"/>
      <color theme="1"/>
      <name val="Arial"/>
      <family val="2"/>
    </font>
    <font>
      <b/>
      <sz val="12"/>
      <color theme="1"/>
      <name val="Arial"/>
      <family val="2"/>
    </font>
    <font>
      <sz val="9"/>
      <color theme="1"/>
      <name val="Arial"/>
      <family val="2"/>
    </font>
    <font>
      <i/>
      <sz val="9"/>
      <color theme="1"/>
      <name val="Arial"/>
      <family val="2"/>
    </font>
    <font>
      <u val="singleAccounting"/>
      <sz val="9"/>
      <color theme="1"/>
      <name val="Arial"/>
      <family val="2"/>
    </font>
    <font>
      <b/>
      <sz val="9"/>
      <color indexed="8"/>
      <name val="Arial"/>
      <family val="2"/>
    </font>
    <font>
      <b/>
      <sz val="9"/>
      <color theme="1"/>
      <name val="Arial"/>
      <family val="2"/>
    </font>
    <font>
      <sz val="9"/>
      <color indexed="8"/>
      <name val="Arial"/>
      <family val="2"/>
    </font>
    <font>
      <sz val="9"/>
      <color theme="0" tint="-0.499984740745262"/>
      <name val="Verdana"/>
      <family val="2"/>
    </font>
    <font>
      <sz val="12"/>
      <color rgb="FF000000"/>
      <name val="Arial"/>
      <family val="2"/>
    </font>
    <font>
      <sz val="10"/>
      <color theme="1"/>
      <name val="Verdana"/>
      <family val="2"/>
    </font>
    <font>
      <b/>
      <sz val="9"/>
      <color rgb="FF000080"/>
      <name val="Verdana"/>
      <family val="2"/>
    </font>
    <font>
      <sz val="8"/>
      <color rgb="FF000080"/>
      <name val="Verdana"/>
      <family val="2"/>
    </font>
    <font>
      <b/>
      <sz val="8"/>
      <color indexed="81"/>
      <name val="Verdana"/>
      <family val="2"/>
    </font>
    <font>
      <sz val="8"/>
      <color indexed="81"/>
      <name val="Verdana"/>
      <family val="2"/>
    </font>
    <font>
      <sz val="9"/>
      <color rgb="FF000080"/>
      <name val="Verdana"/>
      <family val="2"/>
    </font>
  </fonts>
  <fills count="42">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249977111117893"/>
        <bgColor indexed="64"/>
      </patternFill>
    </fill>
  </fills>
  <borders count="2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000080"/>
      </left>
      <right/>
      <top style="thin">
        <color rgb="FF000080"/>
      </top>
      <bottom/>
      <diagonal/>
    </border>
    <border>
      <left/>
      <right style="thin">
        <color rgb="FF000080"/>
      </right>
      <top style="thin">
        <color rgb="FF000080"/>
      </top>
      <bottom/>
      <diagonal/>
    </border>
    <border>
      <left/>
      <right style="thin">
        <color indexed="64"/>
      </right>
      <top/>
      <bottom/>
      <diagonal/>
    </border>
    <border>
      <left style="thin">
        <color rgb="FF000080"/>
      </left>
      <right/>
      <top/>
      <bottom/>
      <diagonal/>
    </border>
    <border>
      <left/>
      <right style="thin">
        <color rgb="FF000080"/>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rgb="FF000080"/>
      </top>
      <bottom/>
      <diagonal/>
    </border>
  </borders>
  <cellStyleXfs count="2420">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4" fillId="0" borderId="0"/>
    <xf numFmtId="0" fontId="16" fillId="15" borderId="0" applyNumberFormat="0" applyBorder="0" applyAlignment="0" applyProtection="0"/>
    <xf numFmtId="0" fontId="1" fillId="3" borderId="0" applyNumberFormat="0" applyBorder="0" applyAlignment="0" applyProtection="0"/>
    <xf numFmtId="0" fontId="16" fillId="16" borderId="0" applyNumberFormat="0" applyBorder="0" applyAlignment="0" applyProtection="0"/>
    <xf numFmtId="0" fontId="1" fillId="5" borderId="0" applyNumberFormat="0" applyBorder="0" applyAlignment="0" applyProtection="0"/>
    <xf numFmtId="0" fontId="16" fillId="17" borderId="0" applyNumberFormat="0" applyBorder="0" applyAlignment="0" applyProtection="0"/>
    <xf numFmtId="0" fontId="1" fillId="7" borderId="0" applyNumberFormat="0" applyBorder="0" applyAlignment="0" applyProtection="0"/>
    <xf numFmtId="0" fontId="16" fillId="18" borderId="0" applyNumberFormat="0" applyBorder="0" applyAlignment="0" applyProtection="0"/>
    <xf numFmtId="0" fontId="1" fillId="9" borderId="0" applyNumberFormat="0" applyBorder="0" applyAlignment="0" applyProtection="0"/>
    <xf numFmtId="0" fontId="16" fillId="19" borderId="0" applyNumberFormat="0" applyBorder="0" applyAlignment="0" applyProtection="0"/>
    <xf numFmtId="0" fontId="1" fillId="11" borderId="0" applyNumberFormat="0" applyBorder="0" applyAlignment="0" applyProtection="0"/>
    <xf numFmtId="0" fontId="16" fillId="20" borderId="0" applyNumberFormat="0" applyBorder="0" applyAlignment="0" applyProtection="0"/>
    <xf numFmtId="0" fontId="1" fillId="13" borderId="0" applyNumberFormat="0" applyBorder="0" applyAlignment="0" applyProtection="0"/>
    <xf numFmtId="0" fontId="16" fillId="21" borderId="0" applyNumberFormat="0" applyBorder="0" applyAlignment="0" applyProtection="0"/>
    <xf numFmtId="0" fontId="1" fillId="4" borderId="0" applyNumberFormat="0" applyBorder="0" applyAlignment="0" applyProtection="0"/>
    <xf numFmtId="0" fontId="16" fillId="22" borderId="0" applyNumberFormat="0" applyBorder="0" applyAlignment="0" applyProtection="0"/>
    <xf numFmtId="0" fontId="1" fillId="6" borderId="0" applyNumberFormat="0" applyBorder="0" applyAlignment="0" applyProtection="0"/>
    <xf numFmtId="0" fontId="16" fillId="23" borderId="0" applyNumberFormat="0" applyBorder="0" applyAlignment="0" applyProtection="0"/>
    <xf numFmtId="0" fontId="1" fillId="8" borderId="0" applyNumberFormat="0" applyBorder="0" applyAlignment="0" applyProtection="0"/>
    <xf numFmtId="0" fontId="16" fillId="18" borderId="0" applyNumberFormat="0" applyBorder="0" applyAlignment="0" applyProtection="0"/>
    <xf numFmtId="0" fontId="1" fillId="10" borderId="0" applyNumberFormat="0" applyBorder="0" applyAlignment="0" applyProtection="0"/>
    <xf numFmtId="0" fontId="16" fillId="21" borderId="0" applyNumberFormat="0" applyBorder="0" applyAlignment="0" applyProtection="0"/>
    <xf numFmtId="0" fontId="1" fillId="12" borderId="0" applyNumberFormat="0" applyBorder="0" applyAlignment="0" applyProtection="0"/>
    <xf numFmtId="0" fontId="16" fillId="24" borderId="0" applyNumberFormat="0" applyBorder="0" applyAlignment="0" applyProtection="0"/>
    <xf numFmtId="0" fontId="1" fillId="14" borderId="0" applyNumberFormat="0" applyBorder="0" applyAlignment="0" applyProtection="0"/>
    <xf numFmtId="0" fontId="17" fillId="25"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2" borderId="0" applyNumberFormat="0" applyBorder="0" applyAlignment="0" applyProtection="0"/>
    <xf numFmtId="0" fontId="18" fillId="16" borderId="0" applyNumberFormat="0" applyBorder="0" applyAlignment="0" applyProtection="0"/>
    <xf numFmtId="0" fontId="19" fillId="33" borderId="5" applyNumberFormat="0" applyAlignment="0" applyProtection="0"/>
    <xf numFmtId="0" fontId="19" fillId="33" borderId="5" applyNumberFormat="0" applyAlignment="0" applyProtection="0"/>
    <xf numFmtId="0" fontId="19" fillId="33" borderId="5" applyNumberFormat="0" applyAlignment="0" applyProtection="0"/>
    <xf numFmtId="0" fontId="19" fillId="33" borderId="5" applyNumberFormat="0" applyAlignment="0" applyProtection="0"/>
    <xf numFmtId="0" fontId="19" fillId="33" borderId="5" applyNumberFormat="0" applyAlignment="0" applyProtection="0"/>
    <xf numFmtId="0" fontId="19" fillId="33" borderId="5" applyNumberFormat="0" applyAlignment="0" applyProtection="0"/>
    <xf numFmtId="0" fontId="19" fillId="33" borderId="5" applyNumberFormat="0" applyAlignment="0" applyProtection="0"/>
    <xf numFmtId="0" fontId="20" fillId="34" borderId="6"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 fillId="0" borderId="0" applyNumberFormat="0" applyFill="0" applyBorder="0" applyAlignment="0" applyProtection="0"/>
    <xf numFmtId="0" fontId="22" fillId="17" borderId="0" applyNumberFormat="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7" fillId="20" borderId="5" applyNumberFormat="0" applyAlignment="0" applyProtection="0"/>
    <xf numFmtId="0" fontId="27" fillId="20" borderId="5" applyNumberFormat="0" applyAlignment="0" applyProtection="0"/>
    <xf numFmtId="0" fontId="27" fillId="20" borderId="5" applyNumberFormat="0" applyAlignment="0" applyProtection="0"/>
    <xf numFmtId="0" fontId="27" fillId="20" borderId="5" applyNumberFormat="0" applyAlignment="0" applyProtection="0"/>
    <xf numFmtId="0" fontId="27" fillId="20" borderId="5" applyNumberFormat="0" applyAlignment="0" applyProtection="0"/>
    <xf numFmtId="0" fontId="27" fillId="20" borderId="5" applyNumberFormat="0" applyAlignment="0" applyProtection="0"/>
    <xf numFmtId="0" fontId="27" fillId="20" borderId="5" applyNumberFormat="0" applyAlignment="0" applyProtection="0"/>
    <xf numFmtId="0" fontId="28" fillId="0" borderId="10" applyNumberFormat="0" applyFill="0" applyAlignment="0" applyProtection="0"/>
    <xf numFmtId="0" fontId="29"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4"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3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4" fillId="36" borderId="11" applyNumberFormat="0" applyFont="0" applyAlignment="0" applyProtection="0"/>
    <xf numFmtId="0" fontId="1" fillId="2" borderId="4" applyNumberFormat="0" applyFont="0" applyAlignment="0" applyProtection="0"/>
    <xf numFmtId="0" fontId="1" fillId="2" borderId="4" applyNumberFormat="0" applyFont="0" applyAlignment="0" applyProtection="0"/>
    <xf numFmtId="0" fontId="32" fillId="33" borderId="12" applyNumberFormat="0" applyAlignment="0" applyProtection="0"/>
    <xf numFmtId="0" fontId="32" fillId="33" borderId="12" applyNumberFormat="0" applyAlignment="0" applyProtection="0"/>
    <xf numFmtId="0" fontId="32" fillId="33" borderId="12" applyNumberFormat="0" applyAlignment="0" applyProtection="0"/>
    <xf numFmtId="0" fontId="32" fillId="33" borderId="12" applyNumberFormat="0" applyAlignment="0" applyProtection="0"/>
    <xf numFmtId="0" fontId="32" fillId="33" borderId="12" applyNumberFormat="0" applyAlignment="0" applyProtection="0"/>
    <xf numFmtId="0" fontId="32" fillId="33" borderId="12" applyNumberFormat="0" applyAlignment="0" applyProtection="0"/>
    <xf numFmtId="0" fontId="32" fillId="33" borderId="1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5" fillId="0" borderId="0" applyNumberFormat="0" applyFill="0" applyBorder="0" applyAlignment="0" applyProtection="0"/>
    <xf numFmtId="0" fontId="9" fillId="0" borderId="0"/>
    <xf numFmtId="0" fontId="12" fillId="0" borderId="0"/>
    <xf numFmtId="43" fontId="12" fillId="0" borderId="0" applyFont="0" applyFill="0" applyBorder="0" applyAlignment="0" applyProtection="0"/>
    <xf numFmtId="0" fontId="52" fillId="0" borderId="0"/>
    <xf numFmtId="0" fontId="12" fillId="0" borderId="0"/>
    <xf numFmtId="0" fontId="9" fillId="0" borderId="0"/>
    <xf numFmtId="0" fontId="52" fillId="3" borderId="0" applyNumberFormat="0" applyBorder="0" applyAlignment="0" applyProtection="0"/>
    <xf numFmtId="0" fontId="52" fillId="5" borderId="0" applyNumberFormat="0" applyBorder="0" applyAlignment="0" applyProtection="0"/>
    <xf numFmtId="0" fontId="52" fillId="7" borderId="0" applyNumberFormat="0" applyBorder="0" applyAlignment="0" applyProtection="0"/>
    <xf numFmtId="0" fontId="52" fillId="9" borderId="0" applyNumberFormat="0" applyBorder="0" applyAlignment="0" applyProtection="0"/>
    <xf numFmtId="0" fontId="52" fillId="11" borderId="0" applyNumberFormat="0" applyBorder="0" applyAlignment="0" applyProtection="0"/>
    <xf numFmtId="0" fontId="52" fillId="13"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8"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4" borderId="0" applyNumberFormat="0" applyBorder="0" applyAlignment="0" applyProtection="0"/>
    <xf numFmtId="0" fontId="11"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2" fillId="2" borderId="4" applyNumberFormat="0" applyFont="0" applyAlignment="0" applyProtection="0"/>
    <xf numFmtId="0" fontId="61" fillId="0" borderId="0"/>
    <xf numFmtId="43" fontId="61" fillId="0" borderId="0" applyFont="0" applyFill="0" applyBorder="0" applyAlignment="0" applyProtection="0"/>
    <xf numFmtId="0" fontId="1" fillId="0" borderId="0"/>
    <xf numFmtId="0" fontId="12" fillId="0" borderId="0"/>
    <xf numFmtId="164" fontId="4" fillId="0" borderId="0" applyFont="0" applyFill="0" applyBorder="0" applyAlignment="0" applyProtection="0"/>
    <xf numFmtId="0" fontId="12" fillId="0" borderId="0"/>
    <xf numFmtId="0" fontId="52" fillId="3" borderId="0" applyNumberFormat="0" applyBorder="0" applyAlignment="0" applyProtection="0"/>
    <xf numFmtId="0" fontId="52" fillId="3"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2" borderId="4" applyNumberFormat="0" applyFont="0" applyAlignment="0" applyProtection="0"/>
    <xf numFmtId="0" fontId="52" fillId="2" borderId="4" applyNumberFormat="0" applyFont="0" applyAlignment="0" applyProtection="0"/>
    <xf numFmtId="0" fontId="52" fillId="2" borderId="4" applyNumberFormat="0" applyFont="0" applyAlignment="0" applyProtection="0"/>
    <xf numFmtId="0" fontId="52" fillId="2" borderId="4" applyNumberFormat="0" applyFont="0" applyAlignment="0" applyProtection="0"/>
    <xf numFmtId="0" fontId="12" fillId="0" borderId="0"/>
    <xf numFmtId="0" fontId="9" fillId="0" borderId="0"/>
  </cellStyleXfs>
  <cellXfs count="212">
    <xf numFmtId="0" fontId="0" fillId="0" borderId="0" xfId="0"/>
    <xf numFmtId="0" fontId="8" fillId="37" borderId="0" xfId="255" applyFill="1"/>
    <xf numFmtId="0" fontId="8" fillId="0" borderId="0" xfId="255" applyFill="1"/>
    <xf numFmtId="0" fontId="8" fillId="0" borderId="0" xfId="255"/>
    <xf numFmtId="0" fontId="8" fillId="40" borderId="0" xfId="255" applyFill="1" applyAlignment="1"/>
    <xf numFmtId="0" fontId="37" fillId="41" borderId="0" xfId="255" applyFont="1" applyFill="1"/>
    <xf numFmtId="0" fontId="8" fillId="41" borderId="0" xfId="255" applyFill="1"/>
    <xf numFmtId="0" fontId="14" fillId="0" borderId="0" xfId="255" applyFont="1" applyBorder="1" applyAlignment="1">
      <alignment horizontal="center" vertical="center" wrapText="1"/>
    </xf>
    <xf numFmtId="0" fontId="8" fillId="0" borderId="0" xfId="255" applyAlignment="1">
      <alignment horizontal="right" wrapText="1"/>
    </xf>
    <xf numFmtId="0" fontId="8" fillId="0" borderId="0" xfId="255" applyAlignment="1">
      <alignment horizontal="right" vertical="center" wrapText="1"/>
    </xf>
    <xf numFmtId="0" fontId="8" fillId="0" borderId="14" xfId="255" applyBorder="1"/>
    <xf numFmtId="0" fontId="8" fillId="0" borderId="0" xfId="255" applyBorder="1"/>
    <xf numFmtId="0" fontId="8" fillId="0" borderId="19" xfId="255" applyBorder="1"/>
    <xf numFmtId="0" fontId="8" fillId="0" borderId="20" xfId="255" applyBorder="1" applyAlignment="1">
      <alignment horizontal="center" wrapText="1"/>
    </xf>
    <xf numFmtId="0" fontId="8" fillId="0" borderId="21" xfId="255" applyBorder="1" applyAlignment="1">
      <alignment horizontal="center" wrapText="1"/>
    </xf>
    <xf numFmtId="0" fontId="8" fillId="0" borderId="0" xfId="255" applyBorder="1" applyAlignment="1">
      <alignment horizontal="center" wrapText="1"/>
    </xf>
    <xf numFmtId="0" fontId="8" fillId="0" borderId="19" xfId="255" applyBorder="1" applyAlignment="1">
      <alignment horizontal="right" wrapText="1"/>
    </xf>
    <xf numFmtId="0" fontId="8" fillId="0" borderId="20" xfId="255" applyBorder="1"/>
    <xf numFmtId="0" fontId="8" fillId="0" borderId="21" xfId="255" applyBorder="1"/>
    <xf numFmtId="165" fontId="8" fillId="0" borderId="21" xfId="255" applyNumberFormat="1" applyBorder="1"/>
    <xf numFmtId="165" fontId="8" fillId="0" borderId="0" xfId="255" applyNumberFormat="1" applyBorder="1"/>
    <xf numFmtId="165" fontId="8" fillId="0" borderId="19" xfId="255" applyNumberFormat="1" applyBorder="1"/>
    <xf numFmtId="2" fontId="8" fillId="0" borderId="19" xfId="255" applyNumberFormat="1" applyBorder="1"/>
    <xf numFmtId="166" fontId="8" fillId="0" borderId="14" xfId="255" applyNumberFormat="1" applyBorder="1"/>
    <xf numFmtId="10" fontId="8" fillId="0" borderId="14" xfId="255" applyNumberFormat="1" applyBorder="1"/>
    <xf numFmtId="165" fontId="8" fillId="0" borderId="0" xfId="255" applyNumberFormat="1"/>
    <xf numFmtId="2" fontId="8" fillId="0" borderId="19" xfId="255" applyNumberFormat="1" applyFill="1" applyBorder="1"/>
    <xf numFmtId="1" fontId="8" fillId="0" borderId="14" xfId="255" applyNumberFormat="1" applyBorder="1"/>
    <xf numFmtId="165" fontId="8" fillId="0" borderId="19" xfId="255" applyNumberFormat="1" applyFill="1" applyBorder="1"/>
    <xf numFmtId="0" fontId="8" fillId="0" borderId="22" xfId="255" applyBorder="1"/>
    <xf numFmtId="0" fontId="8" fillId="0" borderId="1" xfId="255" applyBorder="1"/>
    <xf numFmtId="0" fontId="8" fillId="0" borderId="23" xfId="255" applyBorder="1"/>
    <xf numFmtId="166" fontId="8" fillId="0" borderId="20" xfId="255" applyNumberFormat="1" applyBorder="1"/>
    <xf numFmtId="166" fontId="8" fillId="0" borderId="14" xfId="255" applyNumberFormat="1" applyBorder="1" applyAlignment="1">
      <alignment horizontal="right"/>
    </xf>
    <xf numFmtId="0" fontId="8" fillId="0" borderId="3" xfId="255" applyBorder="1"/>
    <xf numFmtId="2" fontId="8" fillId="0" borderId="3" xfId="255" applyNumberFormat="1" applyBorder="1"/>
    <xf numFmtId="2" fontId="8" fillId="0" borderId="0" xfId="255" applyNumberFormat="1" applyBorder="1"/>
    <xf numFmtId="1" fontId="8" fillId="0" borderId="0" xfId="255" applyNumberFormat="1" applyBorder="1"/>
    <xf numFmtId="166" fontId="8" fillId="0" borderId="20" xfId="255" applyNumberFormat="1" applyBorder="1" applyAlignment="1">
      <alignment horizontal="right"/>
    </xf>
    <xf numFmtId="10" fontId="8" fillId="0" borderId="14" xfId="255" applyNumberFormat="1" applyBorder="1" applyAlignment="1">
      <alignment horizontal="right"/>
    </xf>
    <xf numFmtId="1" fontId="8" fillId="0" borderId="22" xfId="255" applyNumberFormat="1" applyBorder="1"/>
    <xf numFmtId="2" fontId="8" fillId="0" borderId="23" xfId="255" applyNumberFormat="1" applyBorder="1"/>
    <xf numFmtId="165" fontId="8" fillId="0" borderId="23" xfId="255" applyNumberFormat="1" applyBorder="1"/>
    <xf numFmtId="1" fontId="8" fillId="0" borderId="0" xfId="255" applyNumberFormat="1" applyFill="1" applyBorder="1"/>
    <xf numFmtId="2" fontId="8" fillId="0" borderId="0" xfId="255" applyNumberFormat="1"/>
    <xf numFmtId="165" fontId="8" fillId="0" borderId="0" xfId="255" applyNumberFormat="1" applyFill="1" applyAlignment="1">
      <alignment horizontal="left" vertical="center"/>
    </xf>
    <xf numFmtId="0" fontId="8" fillId="0" borderId="15" xfId="255" applyBorder="1"/>
    <xf numFmtId="0" fontId="8" fillId="0" borderId="16" xfId="255" applyBorder="1"/>
    <xf numFmtId="0" fontId="8" fillId="0" borderId="14" xfId="255" applyFill="1" applyBorder="1"/>
    <xf numFmtId="0" fontId="14" fillId="0" borderId="0" xfId="255" applyFont="1"/>
    <xf numFmtId="10" fontId="8" fillId="0" borderId="22" xfId="255" applyNumberFormat="1" applyBorder="1"/>
    <xf numFmtId="166" fontId="8" fillId="0" borderId="22" xfId="255" applyNumberFormat="1" applyBorder="1"/>
    <xf numFmtId="0" fontId="8" fillId="39" borderId="26" xfId="255" applyFill="1" applyBorder="1" applyAlignment="1">
      <alignment horizontal="center"/>
    </xf>
    <xf numFmtId="0" fontId="8" fillId="0" borderId="0" xfId="255" applyFill="1" applyAlignment="1">
      <alignment horizontal="center"/>
    </xf>
    <xf numFmtId="0" fontId="8" fillId="0" borderId="0" xfId="255" applyFill="1" applyAlignment="1"/>
    <xf numFmtId="1" fontId="8" fillId="0" borderId="0" xfId="255" applyNumberFormat="1"/>
    <xf numFmtId="3" fontId="8" fillId="0" borderId="0" xfId="255" applyNumberFormat="1" applyAlignment="1">
      <alignment horizontal="center"/>
    </xf>
    <xf numFmtId="165" fontId="8" fillId="0" borderId="0" xfId="255" applyNumberFormat="1" applyFill="1" applyAlignment="1">
      <alignment horizontal="center"/>
    </xf>
    <xf numFmtId="3" fontId="8" fillId="0" borderId="0" xfId="255" applyNumberFormat="1" applyAlignment="1">
      <alignment horizontal="right"/>
    </xf>
    <xf numFmtId="165" fontId="8" fillId="0" borderId="0" xfId="255" applyNumberFormat="1" applyAlignment="1">
      <alignment horizontal="center"/>
    </xf>
    <xf numFmtId="2" fontId="8" fillId="0" borderId="0" xfId="255" applyNumberFormat="1" applyAlignment="1">
      <alignment horizontal="center"/>
    </xf>
    <xf numFmtId="0" fontId="8" fillId="0" borderId="0" xfId="255" applyAlignment="1">
      <alignment horizontal="center"/>
    </xf>
    <xf numFmtId="0" fontId="8" fillId="37" borderId="0" xfId="255" applyFill="1" applyAlignment="1">
      <alignment horizontal="center"/>
    </xf>
    <xf numFmtId="165" fontId="8" fillId="37" borderId="0" xfId="255" applyNumberFormat="1" applyFill="1" applyAlignment="1">
      <alignment horizontal="center"/>
    </xf>
    <xf numFmtId="3" fontId="8" fillId="37" borderId="0" xfId="255" applyNumberFormat="1" applyFill="1" applyAlignment="1">
      <alignment horizontal="center"/>
    </xf>
    <xf numFmtId="3" fontId="8" fillId="37" borderId="0" xfId="255" applyNumberFormat="1" applyFill="1" applyAlignment="1">
      <alignment horizontal="right"/>
    </xf>
    <xf numFmtId="3" fontId="8" fillId="0" borderId="0" xfId="255" applyNumberFormat="1" applyFill="1" applyAlignment="1">
      <alignment horizontal="center"/>
    </xf>
    <xf numFmtId="3" fontId="8" fillId="0" borderId="0" xfId="255" applyNumberFormat="1" applyFill="1" applyAlignment="1">
      <alignment horizontal="right"/>
    </xf>
    <xf numFmtId="165" fontId="8" fillId="0" borderId="0" xfId="255" applyNumberFormat="1" applyFont="1" applyFill="1" applyAlignment="1">
      <alignment horizontal="center"/>
    </xf>
    <xf numFmtId="165" fontId="8" fillId="37" borderId="0" xfId="255" applyNumberFormat="1" applyFill="1"/>
    <xf numFmtId="0" fontId="42" fillId="38" borderId="0" xfId="2364" applyFont="1" applyFill="1" applyBorder="1"/>
    <xf numFmtId="0" fontId="12" fillId="0" borderId="0" xfId="2364" applyBorder="1" applyAlignment="1"/>
    <xf numFmtId="0" fontId="12" fillId="38" borderId="0" xfId="2364" applyFill="1" applyBorder="1" applyAlignment="1"/>
    <xf numFmtId="0" fontId="4" fillId="38" borderId="0" xfId="2364" applyFont="1" applyFill="1" applyBorder="1" applyAlignment="1"/>
    <xf numFmtId="0" fontId="4" fillId="38" borderId="0" xfId="2364" applyFont="1" applyFill="1" applyBorder="1"/>
    <xf numFmtId="0" fontId="12" fillId="0" borderId="0" xfId="2364"/>
    <xf numFmtId="0" fontId="4" fillId="38" borderId="0" xfId="2364" applyFont="1" applyFill="1"/>
    <xf numFmtId="0" fontId="43" fillId="38" borderId="0" xfId="2364" applyFont="1" applyFill="1" applyBorder="1"/>
    <xf numFmtId="0" fontId="45" fillId="38" borderId="0" xfId="2364" applyFont="1" applyFill="1"/>
    <xf numFmtId="0" fontId="45" fillId="38" borderId="0" xfId="2364" applyFont="1" applyFill="1" applyBorder="1" applyAlignment="1">
      <alignment horizontal="right"/>
    </xf>
    <xf numFmtId="0" fontId="4" fillId="38" borderId="3" xfId="2364" applyFont="1" applyFill="1" applyBorder="1"/>
    <xf numFmtId="0" fontId="43" fillId="38" borderId="3" xfId="2364" applyFont="1" applyFill="1" applyBorder="1" applyAlignment="1">
      <alignment horizontal="center"/>
    </xf>
    <xf numFmtId="0" fontId="43" fillId="38" borderId="3" xfId="2364" applyFont="1" applyFill="1" applyBorder="1" applyAlignment="1">
      <alignment horizontal="right"/>
    </xf>
    <xf numFmtId="0" fontId="43" fillId="38" borderId="3" xfId="2364" applyFont="1" applyFill="1" applyBorder="1"/>
    <xf numFmtId="0" fontId="46" fillId="38" borderId="3" xfId="2364" applyFont="1" applyFill="1" applyBorder="1"/>
    <xf numFmtId="1" fontId="4" fillId="38" borderId="0" xfId="2364" applyNumberFormat="1" applyFont="1" applyFill="1" applyBorder="1"/>
    <xf numFmtId="3" fontId="44" fillId="0" borderId="0" xfId="2364" applyNumberFormat="1" applyFont="1" applyFill="1" applyBorder="1"/>
    <xf numFmtId="0" fontId="47" fillId="0" borderId="0" xfId="2364" applyFont="1" applyFill="1" applyBorder="1"/>
    <xf numFmtId="1" fontId="47" fillId="0" borderId="0" xfId="2364" applyNumberFormat="1" applyFont="1" applyFill="1" applyBorder="1"/>
    <xf numFmtId="0" fontId="46" fillId="38" borderId="0" xfId="2364" applyFont="1" applyFill="1" applyBorder="1"/>
    <xf numFmtId="3" fontId="45" fillId="38" borderId="0" xfId="2364" applyNumberFormat="1" applyFont="1" applyFill="1" applyBorder="1"/>
    <xf numFmtId="0" fontId="4" fillId="38" borderId="1" xfId="2364" applyFont="1" applyFill="1" applyBorder="1"/>
    <xf numFmtId="0" fontId="48" fillId="38" borderId="1" xfId="2364" applyFont="1" applyFill="1" applyBorder="1"/>
    <xf numFmtId="3" fontId="49" fillId="38" borderId="0" xfId="2364" applyNumberFormat="1" applyFont="1" applyFill="1"/>
    <xf numFmtId="0" fontId="43" fillId="38" borderId="0" xfId="2364" applyFont="1" applyFill="1"/>
    <xf numFmtId="0" fontId="46" fillId="0" borderId="3" xfId="2364" applyFont="1" applyFill="1" applyBorder="1" applyAlignment="1">
      <alignment horizontal="right"/>
    </xf>
    <xf numFmtId="0" fontId="4" fillId="38" borderId="0" xfId="2364" applyFont="1" applyFill="1" applyBorder="1" applyAlignment="1">
      <alignment wrapText="1"/>
    </xf>
    <xf numFmtId="0" fontId="4" fillId="38" borderId="0" xfId="2364" applyFont="1" applyFill="1" applyBorder="1" applyAlignment="1">
      <alignment horizontal="right"/>
    </xf>
    <xf numFmtId="1" fontId="50" fillId="0" borderId="1" xfId="2364" applyNumberFormat="1" applyFont="1" applyBorder="1"/>
    <xf numFmtId="169" fontId="51" fillId="0" borderId="1" xfId="2365" applyNumberFormat="1" applyFont="1" applyBorder="1"/>
    <xf numFmtId="0" fontId="53" fillId="0" borderId="0" xfId="2366" applyFont="1"/>
    <xf numFmtId="0" fontId="54" fillId="0" borderId="0" xfId="2366" applyFont="1"/>
    <xf numFmtId="0" fontId="55" fillId="0" borderId="0" xfId="2366" applyFont="1" applyAlignment="1">
      <alignment horizontal="right"/>
    </xf>
    <xf numFmtId="0" fontId="54" fillId="0" borderId="3" xfId="2366" applyFont="1" applyBorder="1"/>
    <xf numFmtId="49" fontId="54" fillId="0" borderId="0" xfId="2366" applyNumberFormat="1" applyFont="1"/>
    <xf numFmtId="49" fontId="56" fillId="0" borderId="0" xfId="2366" applyNumberFormat="1" applyFont="1" applyBorder="1" applyAlignment="1">
      <alignment horizontal="center"/>
    </xf>
    <xf numFmtId="0" fontId="56" fillId="0" borderId="0" xfId="2366" applyFont="1" applyBorder="1" applyAlignment="1">
      <alignment horizontal="center"/>
    </xf>
    <xf numFmtId="0" fontId="57" fillId="38" borderId="0" xfId="2367" applyFont="1" applyFill="1" applyAlignment="1"/>
    <xf numFmtId="0" fontId="58" fillId="0" borderId="0" xfId="2366" applyFont="1"/>
    <xf numFmtId="0" fontId="59" fillId="38" borderId="0" xfId="2367" applyFont="1" applyFill="1" applyAlignment="1">
      <alignment horizontal="left"/>
    </xf>
    <xf numFmtId="1" fontId="54" fillId="0" borderId="0" xfId="2366" applyNumberFormat="1" applyFont="1"/>
    <xf numFmtId="0" fontId="57" fillId="38" borderId="0" xfId="2367" applyFont="1" applyFill="1" applyAlignment="1">
      <alignment horizontal="left"/>
    </xf>
    <xf numFmtId="0" fontId="47" fillId="38" borderId="0" xfId="2367" applyFont="1" applyFill="1"/>
    <xf numFmtId="0" fontId="59" fillId="38" borderId="0" xfId="2367" applyFont="1" applyFill="1" applyBorder="1" applyAlignment="1"/>
    <xf numFmtId="0" fontId="54" fillId="0" borderId="0" xfId="2366" applyFont="1" applyBorder="1"/>
    <xf numFmtId="0" fontId="58" fillId="0" borderId="0" xfId="2366" applyFont="1" applyBorder="1"/>
    <xf numFmtId="0" fontId="54" fillId="0" borderId="1" xfId="2366" applyFont="1" applyBorder="1"/>
    <xf numFmtId="0" fontId="8" fillId="37" borderId="0" xfId="255" applyNumberFormat="1" applyFill="1"/>
    <xf numFmtId="0" fontId="9" fillId="37" borderId="0" xfId="2368" applyFill="1"/>
    <xf numFmtId="0" fontId="9" fillId="0" borderId="0" xfId="2368"/>
    <xf numFmtId="0" fontId="8" fillId="0" borderId="0" xfId="255" applyFill="1" applyAlignment="1">
      <alignment horizontal="right"/>
    </xf>
    <xf numFmtId="0" fontId="8" fillId="0" borderId="0" xfId="255" applyFont="1"/>
    <xf numFmtId="0" fontId="9" fillId="0" borderId="0" xfId="2368" applyNumberFormat="1"/>
    <xf numFmtId="0" fontId="60" fillId="0" borderId="0" xfId="255" applyFont="1"/>
    <xf numFmtId="0" fontId="8" fillId="37" borderId="0" xfId="255" applyFill="1" applyAlignment="1">
      <alignment horizontal="right"/>
    </xf>
    <xf numFmtId="0" fontId="8" fillId="37" borderId="0" xfId="255" applyFont="1" applyFill="1"/>
    <xf numFmtId="3" fontId="8" fillId="0" borderId="0" xfId="33" applyNumberFormat="1" applyFont="1" applyFill="1" applyAlignment="1">
      <alignment horizontal="center"/>
    </xf>
    <xf numFmtId="2" fontId="8" fillId="0" borderId="0" xfId="255" applyNumberFormat="1" applyFill="1" applyAlignment="1">
      <alignment horizontal="center"/>
    </xf>
    <xf numFmtId="2" fontId="8" fillId="37" borderId="0" xfId="255" applyNumberFormat="1" applyFill="1" applyAlignment="1">
      <alignment horizontal="center"/>
    </xf>
    <xf numFmtId="0" fontId="14" fillId="0" borderId="0" xfId="255" applyFont="1" applyFill="1"/>
    <xf numFmtId="0" fontId="41" fillId="0" borderId="0" xfId="255" applyFont="1" applyFill="1"/>
    <xf numFmtId="9" fontId="41" fillId="0" borderId="0" xfId="255" applyNumberFormat="1" applyFont="1" applyFill="1"/>
    <xf numFmtId="0" fontId="41" fillId="0" borderId="0" xfId="255" applyFont="1" applyFill="1" applyAlignment="1">
      <alignment horizontal="center"/>
    </xf>
    <xf numFmtId="165" fontId="8" fillId="0" borderId="0" xfId="255" applyNumberFormat="1" applyFill="1"/>
    <xf numFmtId="165" fontId="41" fillId="0" borderId="0" xfId="255" applyNumberFormat="1" applyFont="1" applyFill="1"/>
    <xf numFmtId="167" fontId="41" fillId="0" borderId="0" xfId="255" applyNumberFormat="1" applyFont="1" applyFill="1"/>
    <xf numFmtId="3" fontId="8" fillId="0" borderId="0" xfId="255" applyNumberFormat="1" applyFill="1"/>
    <xf numFmtId="168" fontId="8" fillId="0" borderId="0" xfId="255" applyNumberFormat="1" applyFill="1"/>
    <xf numFmtId="0" fontId="8" fillId="0" borderId="0" xfId="255" applyNumberFormat="1"/>
    <xf numFmtId="0" fontId="8" fillId="0" borderId="0" xfId="255"/>
    <xf numFmtId="0" fontId="8" fillId="0" borderId="0" xfId="255" applyAlignment="1">
      <alignment horizontal="center"/>
    </xf>
    <xf numFmtId="0" fontId="8" fillId="0" borderId="0" xfId="255" applyAlignment="1">
      <alignment horizontal="left"/>
    </xf>
    <xf numFmtId="0" fontId="3" fillId="0" borderId="0" xfId="255" applyFont="1" applyBorder="1" applyAlignment="1">
      <alignment vertical="top" wrapText="1"/>
    </xf>
    <xf numFmtId="0" fontId="2" fillId="0" borderId="0" xfId="255" applyFont="1" applyBorder="1" applyAlignment="1">
      <alignment horizontal="left" vertical="top"/>
    </xf>
    <xf numFmtId="0" fontId="8" fillId="0" borderId="0" xfId="255" quotePrefix="1"/>
    <xf numFmtId="0" fontId="8" fillId="0" borderId="0" xfId="255" applyFill="1" applyAlignment="1">
      <alignment horizontal="center"/>
    </xf>
    <xf numFmtId="0" fontId="0" fillId="0" borderId="0" xfId="0" applyProtection="1">
      <protection hidden="1"/>
    </xf>
    <xf numFmtId="0" fontId="2" fillId="0" borderId="0" xfId="0" applyFont="1" applyAlignment="1" applyProtection="1">
      <alignment vertical="top" wrapText="1"/>
      <protection hidden="1"/>
    </xf>
    <xf numFmtId="0" fontId="40" fillId="0" borderId="0" xfId="398" applyFont="1" applyAlignment="1" applyProtection="1">
      <alignment vertical="top" wrapText="1"/>
      <protection hidden="1"/>
    </xf>
    <xf numFmtId="0" fontId="3" fillId="0" borderId="0" xfId="0" applyFont="1" applyAlignment="1" applyProtection="1">
      <alignment vertical="top" wrapText="1"/>
      <protection hidden="1"/>
    </xf>
    <xf numFmtId="0" fontId="40" fillId="0" borderId="0" xfId="398" applyFont="1" applyAlignment="1" applyProtection="1">
      <protection hidden="1"/>
    </xf>
    <xf numFmtId="0" fontId="39" fillId="0" borderId="0" xfId="0" applyFont="1" applyAlignment="1" applyProtection="1">
      <alignment horizontal="left" indent="1"/>
      <protection hidden="1"/>
    </xf>
    <xf numFmtId="0" fontId="62" fillId="0" borderId="0" xfId="0" applyFont="1" applyProtection="1">
      <protection hidden="1"/>
    </xf>
    <xf numFmtId="0" fontId="10" fillId="0" borderId="0" xfId="0" applyFont="1" applyProtection="1">
      <protection hidden="1"/>
    </xf>
    <xf numFmtId="0" fontId="10" fillId="0" borderId="0" xfId="0" applyFont="1" applyAlignment="1" applyProtection="1">
      <alignment vertical="top"/>
      <protection hidden="1"/>
    </xf>
    <xf numFmtId="0" fontId="63" fillId="0" borderId="0" xfId="0" applyFont="1" applyAlignment="1" applyProtection="1">
      <alignment horizontal="center" vertical="center"/>
      <protection hidden="1"/>
    </xf>
    <xf numFmtId="0" fontId="63" fillId="0" borderId="0" xfId="255" applyFont="1" applyAlignment="1" applyProtection="1">
      <alignment horizontal="center" vertical="center" wrapText="1"/>
      <protection hidden="1"/>
    </xf>
    <xf numFmtId="0" fontId="8" fillId="0" borderId="0" xfId="255" applyAlignment="1" applyProtection="1">
      <alignment horizontal="center"/>
      <protection hidden="1"/>
    </xf>
    <xf numFmtId="165" fontId="8" fillId="0" borderId="0" xfId="255" applyNumberFormat="1" applyAlignment="1" applyProtection="1">
      <alignment horizontal="right" indent="5"/>
      <protection hidden="1"/>
    </xf>
    <xf numFmtId="2" fontId="8" fillId="0" borderId="0" xfId="255" applyNumberFormat="1" applyAlignment="1" applyProtection="1">
      <alignment horizontal="right" indent="2"/>
      <protection hidden="1"/>
    </xf>
    <xf numFmtId="3" fontId="8" fillId="0" borderId="0" xfId="255" applyNumberFormat="1" applyAlignment="1" applyProtection="1">
      <alignment horizontal="right" indent="1"/>
      <protection hidden="1"/>
    </xf>
    <xf numFmtId="3" fontId="8" fillId="0" borderId="0" xfId="255" applyNumberFormat="1" applyAlignment="1" applyProtection="1">
      <alignment horizontal="right" indent="2"/>
      <protection hidden="1"/>
    </xf>
    <xf numFmtId="0" fontId="8" fillId="0" borderId="0" xfId="0" applyFont="1" applyProtection="1">
      <protection hidden="1"/>
    </xf>
    <xf numFmtId="0" fontId="8" fillId="0" borderId="0" xfId="255" applyBorder="1" applyAlignment="1" applyProtection="1">
      <alignment horizontal="center"/>
      <protection hidden="1"/>
    </xf>
    <xf numFmtId="165" fontId="8" fillId="0" borderId="0" xfId="255" applyNumberFormat="1" applyAlignment="1" applyProtection="1">
      <alignment horizontal="right" indent="2"/>
      <protection hidden="1"/>
    </xf>
    <xf numFmtId="0" fontId="36" fillId="0" borderId="0" xfId="0" applyFont="1" applyProtection="1">
      <protection hidden="1"/>
    </xf>
    <xf numFmtId="0" fontId="2" fillId="0" borderId="0" xfId="13" applyFont="1" applyFill="1" applyBorder="1" applyAlignment="1" applyProtection="1">
      <alignment vertical="top"/>
      <protection hidden="1"/>
    </xf>
    <xf numFmtId="0" fontId="2" fillId="0" borderId="0" xfId="13" applyFont="1" applyFill="1" applyBorder="1" applyAlignment="1" applyProtection="1">
      <alignment vertical="top" wrapText="1"/>
      <protection hidden="1"/>
    </xf>
    <xf numFmtId="0" fontId="2" fillId="0" borderId="2" xfId="13" applyFont="1" applyFill="1" applyBorder="1" applyAlignment="1" applyProtection="1">
      <alignment vertical="top"/>
      <protection hidden="1"/>
    </xf>
    <xf numFmtId="0" fontId="2" fillId="0" borderId="2" xfId="13" applyFont="1" applyFill="1" applyBorder="1" applyAlignment="1" applyProtection="1">
      <alignment horizontal="left" vertical="top"/>
      <protection hidden="1"/>
    </xf>
    <xf numFmtId="0" fontId="2" fillId="0" borderId="3" xfId="13" applyFont="1" applyFill="1" applyBorder="1" applyAlignment="1" applyProtection="1">
      <alignment horizontal="left" vertical="top" wrapText="1"/>
      <protection hidden="1"/>
    </xf>
    <xf numFmtId="0" fontId="2" fillId="0" borderId="3" xfId="13" applyFont="1" applyFill="1" applyBorder="1" applyAlignment="1" applyProtection="1">
      <alignment vertical="top" wrapText="1"/>
      <protection hidden="1"/>
    </xf>
    <xf numFmtId="0" fontId="2" fillId="0" borderId="0" xfId="13" applyFont="1" applyFill="1" applyBorder="1" applyAlignment="1" applyProtection="1">
      <alignment horizontal="left" vertical="top" wrapText="1"/>
      <protection hidden="1"/>
    </xf>
    <xf numFmtId="0" fontId="2" fillId="0" borderId="1" xfId="13" applyFont="1" applyFill="1" applyBorder="1" applyAlignment="1" applyProtection="1">
      <alignment horizontal="left" vertical="top" wrapText="1"/>
      <protection hidden="1"/>
    </xf>
    <xf numFmtId="0" fontId="2" fillId="0" borderId="1" xfId="13" applyFont="1" applyFill="1" applyBorder="1" applyAlignment="1" applyProtection="1">
      <alignment vertical="top" wrapText="1"/>
      <protection hidden="1"/>
    </xf>
    <xf numFmtId="0" fontId="2" fillId="0" borderId="2" xfId="13" applyFont="1" applyFill="1" applyBorder="1" applyAlignment="1" applyProtection="1">
      <alignment vertical="top" wrapText="1"/>
      <protection hidden="1"/>
    </xf>
    <xf numFmtId="0" fontId="3" fillId="0" borderId="0" xfId="13" applyFont="1" applyFill="1" applyBorder="1" applyAlignment="1" applyProtection="1">
      <alignment vertical="top" wrapText="1"/>
      <protection hidden="1"/>
    </xf>
    <xf numFmtId="0" fontId="62" fillId="0" borderId="0" xfId="0" applyFont="1" applyBorder="1" applyAlignment="1" applyProtection="1">
      <alignment vertical="top" wrapText="1"/>
      <protection hidden="1"/>
    </xf>
    <xf numFmtId="0" fontId="0" fillId="0" borderId="1" xfId="0" applyBorder="1" applyProtection="1">
      <protection hidden="1"/>
    </xf>
    <xf numFmtId="0" fontId="40" fillId="0" borderId="1" xfId="398" applyFont="1" applyBorder="1" applyAlignment="1" applyProtection="1">
      <alignment vertical="top" wrapText="1"/>
      <protection hidden="1"/>
    </xf>
    <xf numFmtId="0" fontId="38" fillId="0" borderId="0" xfId="1" applyFont="1" applyProtection="1">
      <protection hidden="1"/>
    </xf>
    <xf numFmtId="0" fontId="1" fillId="0" borderId="0" xfId="316" applyProtection="1">
      <protection hidden="1"/>
    </xf>
    <xf numFmtId="0" fontId="3" fillId="0" borderId="0" xfId="1" applyFont="1" applyProtection="1">
      <protection hidden="1"/>
    </xf>
    <xf numFmtId="0" fontId="3" fillId="0" borderId="0" xfId="301" applyFont="1" applyAlignment="1" applyProtection="1">
      <alignment horizontal="center"/>
      <protection hidden="1"/>
    </xf>
    <xf numFmtId="0" fontId="2" fillId="0" borderId="0" xfId="301" applyFont="1" applyProtection="1">
      <protection hidden="1"/>
    </xf>
    <xf numFmtId="0" fontId="3" fillId="0" borderId="0" xfId="301" applyFont="1" applyProtection="1">
      <protection hidden="1"/>
    </xf>
    <xf numFmtId="0" fontId="2" fillId="0" borderId="0" xfId="301" quotePrefix="1" applyFont="1" applyAlignment="1" applyProtection="1">
      <alignment horizontal="center"/>
      <protection hidden="1"/>
    </xf>
    <xf numFmtId="0" fontId="2" fillId="0" borderId="0" xfId="301" applyFont="1" applyAlignment="1" applyProtection="1">
      <alignment horizontal="center"/>
      <protection hidden="1"/>
    </xf>
    <xf numFmtId="0" fontId="39" fillId="0" borderId="0" xfId="0" applyFont="1" applyAlignment="1" applyProtection="1">
      <alignment horizontal="left"/>
      <protection hidden="1"/>
    </xf>
    <xf numFmtId="0" fontId="39" fillId="0" borderId="0" xfId="0" applyFont="1" applyAlignment="1" applyProtection="1">
      <alignment horizontal="left" wrapText="1"/>
      <protection hidden="1"/>
    </xf>
    <xf numFmtId="0" fontId="3" fillId="0" borderId="0" xfId="255" applyFont="1" applyBorder="1" applyAlignment="1" applyProtection="1">
      <alignment horizontal="left" wrapText="1"/>
      <protection hidden="1"/>
    </xf>
    <xf numFmtId="0" fontId="3" fillId="0" borderId="1" xfId="255" applyFont="1" applyBorder="1" applyAlignment="1" applyProtection="1">
      <alignment horizontal="left" wrapText="1"/>
      <protection hidden="1"/>
    </xf>
    <xf numFmtId="0" fontId="64" fillId="0" borderId="0" xfId="0" applyFont="1" applyAlignment="1" applyProtection="1">
      <alignment horizontal="left" vertical="center" wrapText="1"/>
      <protection hidden="1"/>
    </xf>
    <xf numFmtId="0" fontId="64" fillId="0" borderId="27" xfId="255" applyFont="1" applyBorder="1" applyAlignment="1" applyProtection="1">
      <alignment horizontal="left" vertical="top" wrapText="1"/>
      <protection hidden="1"/>
    </xf>
    <xf numFmtId="0" fontId="8" fillId="0" borderId="0" xfId="0" applyFont="1" applyAlignment="1" applyProtection="1">
      <alignment horizontal="left"/>
      <protection hidden="1"/>
    </xf>
    <xf numFmtId="0" fontId="14" fillId="0" borderId="15" xfId="255" applyFont="1" applyBorder="1" applyAlignment="1">
      <alignment horizontal="center" vertical="center" wrapText="1"/>
    </xf>
    <xf numFmtId="0" fontId="14" fillId="0" borderId="16" xfId="255" applyFont="1" applyBorder="1" applyAlignment="1">
      <alignment horizontal="center" vertical="center" wrapText="1"/>
    </xf>
    <xf numFmtId="0" fontId="14" fillId="0" borderId="15" xfId="255" applyFont="1" applyBorder="1" applyAlignment="1">
      <alignment horizontal="center" vertical="center"/>
    </xf>
    <xf numFmtId="0" fontId="14" fillId="0" borderId="3" xfId="255" applyFont="1" applyBorder="1" applyAlignment="1">
      <alignment horizontal="center" vertical="center"/>
    </xf>
    <xf numFmtId="0" fontId="14" fillId="0" borderId="16" xfId="255" applyFont="1" applyBorder="1" applyAlignment="1">
      <alignment horizontal="center" vertical="center"/>
    </xf>
    <xf numFmtId="0" fontId="14" fillId="0" borderId="17" xfId="255" applyFont="1" applyBorder="1" applyAlignment="1">
      <alignment horizontal="center" vertical="center" wrapText="1"/>
    </xf>
    <xf numFmtId="0" fontId="14" fillId="0" borderId="18" xfId="255" applyFont="1" applyBorder="1" applyAlignment="1">
      <alignment horizontal="center" vertical="center" wrapText="1"/>
    </xf>
    <xf numFmtId="0" fontId="8" fillId="0" borderId="0" xfId="255" applyFill="1" applyAlignment="1">
      <alignment horizontal="center"/>
    </xf>
    <xf numFmtId="49" fontId="8" fillId="0" borderId="0" xfId="255" applyNumberFormat="1" applyFill="1" applyAlignment="1">
      <alignment horizontal="center" wrapText="1"/>
    </xf>
    <xf numFmtId="0" fontId="8" fillId="0" borderId="0" xfId="255" applyFill="1" applyAlignment="1">
      <alignment horizontal="center" wrapText="1"/>
    </xf>
    <xf numFmtId="0" fontId="8" fillId="39" borderId="24" xfId="255" applyFill="1" applyBorder="1" applyAlignment="1">
      <alignment horizontal="center"/>
    </xf>
    <xf numFmtId="0" fontId="8" fillId="39" borderId="25" xfId="255" applyFill="1" applyBorder="1" applyAlignment="1">
      <alignment horizontal="center"/>
    </xf>
    <xf numFmtId="0" fontId="8" fillId="39" borderId="2" xfId="255" applyFill="1" applyBorder="1" applyAlignment="1">
      <alignment horizontal="center"/>
    </xf>
    <xf numFmtId="0" fontId="44" fillId="38" borderId="0" xfId="2364" applyFont="1" applyFill="1" applyBorder="1" applyAlignment="1">
      <alignment horizontal="center" wrapText="1"/>
    </xf>
    <xf numFmtId="0" fontId="47" fillId="0" borderId="0" xfId="2364" applyFont="1" applyBorder="1" applyAlignment="1">
      <alignment horizontal="center" wrapText="1"/>
    </xf>
    <xf numFmtId="0" fontId="54" fillId="0" borderId="3" xfId="2366" applyFont="1" applyBorder="1" applyAlignment="1">
      <alignment horizontal="center"/>
    </xf>
    <xf numFmtId="0" fontId="67" fillId="0" borderId="0" xfId="0" applyFont="1"/>
  </cellXfs>
  <cellStyles count="2420">
    <cellStyle name="20% - Accent1 2" xfId="401"/>
    <cellStyle name="20% - Accent1 2 2" xfId="2390"/>
    <cellStyle name="20% - Accent1 3" xfId="402"/>
    <cellStyle name="20% - Accent1 3 2" xfId="2391"/>
    <cellStyle name="20% - Accent1 4" xfId="2369"/>
    <cellStyle name="20% - Accent2 2" xfId="403"/>
    <cellStyle name="20% - Accent2 2 2" xfId="2392"/>
    <cellStyle name="20% - Accent2 3" xfId="404"/>
    <cellStyle name="20% - Accent2 3 2" xfId="2393"/>
    <cellStyle name="20% - Accent2 4" xfId="2370"/>
    <cellStyle name="20% - Accent3 2" xfId="405"/>
    <cellStyle name="20% - Accent3 2 2" xfId="2394"/>
    <cellStyle name="20% - Accent3 3" xfId="406"/>
    <cellStyle name="20% - Accent3 3 2" xfId="2395"/>
    <cellStyle name="20% - Accent3 4" xfId="2371"/>
    <cellStyle name="20% - Accent4 2" xfId="407"/>
    <cellStyle name="20% - Accent4 2 2" xfId="2396"/>
    <cellStyle name="20% - Accent4 3" xfId="408"/>
    <cellStyle name="20% - Accent4 3 2" xfId="2397"/>
    <cellStyle name="20% - Accent4 4" xfId="2372"/>
    <cellStyle name="20% - Accent5 2" xfId="409"/>
    <cellStyle name="20% - Accent5 2 2" xfId="2398"/>
    <cellStyle name="20% - Accent5 3" xfId="410"/>
    <cellStyle name="20% - Accent5 3 2" xfId="2399"/>
    <cellStyle name="20% - Accent5 4" xfId="2373"/>
    <cellStyle name="20% - Accent6 2" xfId="411"/>
    <cellStyle name="20% - Accent6 2 2" xfId="2400"/>
    <cellStyle name="20% - Accent6 3" xfId="412"/>
    <cellStyle name="20% - Accent6 3 2" xfId="2401"/>
    <cellStyle name="20% - Accent6 4" xfId="2374"/>
    <cellStyle name="40% - Accent1 2" xfId="413"/>
    <cellStyle name="40% - Accent1 2 2" xfId="2402"/>
    <cellStyle name="40% - Accent1 3" xfId="414"/>
    <cellStyle name="40% - Accent1 3 2" xfId="2403"/>
    <cellStyle name="40% - Accent1 4" xfId="2375"/>
    <cellStyle name="40% - Accent2 2" xfId="415"/>
    <cellStyle name="40% - Accent2 2 2" xfId="2404"/>
    <cellStyle name="40% - Accent2 3" xfId="416"/>
    <cellStyle name="40% - Accent2 3 2" xfId="2405"/>
    <cellStyle name="40% - Accent2 4" xfId="2376"/>
    <cellStyle name="40% - Accent3 2" xfId="417"/>
    <cellStyle name="40% - Accent3 2 2" xfId="2406"/>
    <cellStyle name="40% - Accent3 3" xfId="418"/>
    <cellStyle name="40% - Accent3 3 2" xfId="2407"/>
    <cellStyle name="40% - Accent3 4" xfId="2377"/>
    <cellStyle name="40% - Accent4 2" xfId="419"/>
    <cellStyle name="40% - Accent4 2 2" xfId="2408"/>
    <cellStyle name="40% - Accent4 3" xfId="420"/>
    <cellStyle name="40% - Accent4 3 2" xfId="2409"/>
    <cellStyle name="40% - Accent4 4" xfId="2378"/>
    <cellStyle name="40% - Accent5 2" xfId="421"/>
    <cellStyle name="40% - Accent5 2 2" xfId="2410"/>
    <cellStyle name="40% - Accent5 3" xfId="422"/>
    <cellStyle name="40% - Accent5 3 2" xfId="2411"/>
    <cellStyle name="40% - Accent5 4" xfId="2379"/>
    <cellStyle name="40% - Accent6 2" xfId="423"/>
    <cellStyle name="40% - Accent6 2 2" xfId="2412"/>
    <cellStyle name="40% - Accent6 3" xfId="424"/>
    <cellStyle name="40% - Accent6 3 2" xfId="2413"/>
    <cellStyle name="40% - Accent6 4" xfId="2380"/>
    <cellStyle name="60% - Accent1 2" xfId="425"/>
    <cellStyle name="60% - Accent2 2" xfId="426"/>
    <cellStyle name="60% - Accent3 2" xfId="427"/>
    <cellStyle name="60% - Accent4 2" xfId="428"/>
    <cellStyle name="60% - Accent5 2" xfId="429"/>
    <cellStyle name="60% - Accent6 2" xfId="430"/>
    <cellStyle name="Accent1 2" xfId="431"/>
    <cellStyle name="Accent2 2" xfId="432"/>
    <cellStyle name="Accent3 2" xfId="433"/>
    <cellStyle name="Accent4 2" xfId="434"/>
    <cellStyle name="Accent5 2" xfId="435"/>
    <cellStyle name="Accent6 2" xfId="436"/>
    <cellStyle name="Bad 2" xfId="437"/>
    <cellStyle name="Calculation 2" xfId="438"/>
    <cellStyle name="Calculation 2 2" xfId="439"/>
    <cellStyle name="Calculation 2 3" xfId="440"/>
    <cellStyle name="Calculation 2 4" xfId="441"/>
    <cellStyle name="Calculation 2 5" xfId="442"/>
    <cellStyle name="Calculation 2 6" xfId="443"/>
    <cellStyle name="Calculation 2 7" xfId="444"/>
    <cellStyle name="Check Cell 2" xfId="445"/>
    <cellStyle name="Comma 2" xfId="2"/>
    <cellStyle name="Comma 2 10" xfId="446"/>
    <cellStyle name="Comma 2 11" xfId="447"/>
    <cellStyle name="Comma 2 12" xfId="448"/>
    <cellStyle name="Comma 2 13" xfId="449"/>
    <cellStyle name="Comma 2 14" xfId="450"/>
    <cellStyle name="Comma 2 15" xfId="451"/>
    <cellStyle name="Comma 2 16" xfId="452"/>
    <cellStyle name="Comma 2 17" xfId="453"/>
    <cellStyle name="Comma 2 18" xfId="454"/>
    <cellStyle name="Comma 2 19" xfId="455"/>
    <cellStyle name="Comma 2 2" xfId="30"/>
    <cellStyle name="Comma 2 2 2" xfId="31"/>
    <cellStyle name="Comma 2 20" xfId="456"/>
    <cellStyle name="Comma 2 21" xfId="457"/>
    <cellStyle name="Comma 2 3" xfId="458"/>
    <cellStyle name="Comma 2 4" xfId="459"/>
    <cellStyle name="Comma 2 5" xfId="460"/>
    <cellStyle name="Comma 2 6" xfId="461"/>
    <cellStyle name="Comma 2 7" xfId="462"/>
    <cellStyle name="Comma 2 8" xfId="463"/>
    <cellStyle name="Comma 2 9" xfId="464"/>
    <cellStyle name="Comma 3" xfId="32"/>
    <cellStyle name="Comma 3 10" xfId="465"/>
    <cellStyle name="Comma 3 11" xfId="466"/>
    <cellStyle name="Comma 3 12" xfId="467"/>
    <cellStyle name="Comma 3 13" xfId="468"/>
    <cellStyle name="Comma 3 14" xfId="469"/>
    <cellStyle name="Comma 3 15" xfId="470"/>
    <cellStyle name="Comma 3 16" xfId="471"/>
    <cellStyle name="Comma 3 17" xfId="472"/>
    <cellStyle name="Comma 3 18" xfId="473"/>
    <cellStyle name="Comma 3 19" xfId="474"/>
    <cellStyle name="Comma 3 2" xfId="475"/>
    <cellStyle name="Comma 3 20" xfId="476"/>
    <cellStyle name="Comma 3 21" xfId="2388"/>
    <cellStyle name="Comma 3 3" xfId="477"/>
    <cellStyle name="Comma 3 4" xfId="478"/>
    <cellStyle name="Comma 3 5" xfId="479"/>
    <cellStyle name="Comma 3 6" xfId="480"/>
    <cellStyle name="Comma 3 7" xfId="481"/>
    <cellStyle name="Comma 3 8" xfId="482"/>
    <cellStyle name="Comma 3 9" xfId="483"/>
    <cellStyle name="Comma 4" xfId="33"/>
    <cellStyle name="Comma 4 10" xfId="484"/>
    <cellStyle name="Comma 4 11" xfId="485"/>
    <cellStyle name="Comma 4 12" xfId="486"/>
    <cellStyle name="Comma 4 13" xfId="487"/>
    <cellStyle name="Comma 4 14" xfId="488"/>
    <cellStyle name="Comma 4 15" xfId="489"/>
    <cellStyle name="Comma 4 16" xfId="490"/>
    <cellStyle name="Comma 4 17" xfId="491"/>
    <cellStyle name="Comma 4 18" xfId="492"/>
    <cellStyle name="Comma 4 19" xfId="493"/>
    <cellStyle name="Comma 4 2" xfId="494"/>
    <cellStyle name="Comma 4 2 2" xfId="2365"/>
    <cellStyle name="Comma 4 20" xfId="495"/>
    <cellStyle name="Comma 4 3" xfId="496"/>
    <cellStyle name="Comma 4 4" xfId="497"/>
    <cellStyle name="Comma 4 5" xfId="498"/>
    <cellStyle name="Comma 4 6" xfId="499"/>
    <cellStyle name="Comma 4 7" xfId="500"/>
    <cellStyle name="Comma 4 8" xfId="501"/>
    <cellStyle name="Comma 4 9" xfId="502"/>
    <cellStyle name="Comma 5" xfId="503"/>
    <cellStyle name="Comma 6" xfId="504"/>
    <cellStyle name="Comma 7" xfId="2385"/>
    <cellStyle name="Explanatory Text 2" xfId="505"/>
    <cellStyle name="Good 2" xfId="506"/>
    <cellStyle name="Heading 1 2" xfId="507"/>
    <cellStyle name="Heading 2 2" xfId="508"/>
    <cellStyle name="Heading 3 2" xfId="509"/>
    <cellStyle name="Heading 4 2" xfId="510"/>
    <cellStyle name="Hyperlink" xfId="39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1"/>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2"/>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63" xfId="2381"/>
    <cellStyle name="Hyperlink 3 64" xfId="2382"/>
    <cellStyle name="Hyperlink 3 7" xfId="240"/>
    <cellStyle name="Hyperlink 3 8" xfId="241"/>
    <cellStyle name="Hyperlink 3 9" xfId="242"/>
    <cellStyle name="Hyperlink 31" xfId="513"/>
    <cellStyle name="Hyperlink 4" xfId="8"/>
    <cellStyle name="Hyperlink 4 2" xfId="243"/>
    <cellStyle name="Hyperlink 4 2 2" xfId="244"/>
    <cellStyle name="Hyperlink 5" xfId="9"/>
    <cellStyle name="Hyperlink 5 2" xfId="399"/>
    <cellStyle name="Hyperlink 6" xfId="245"/>
    <cellStyle name="Hyperlink 7" xfId="514"/>
    <cellStyle name="Hyperlink 7 2" xfId="515"/>
    <cellStyle name="Input 2" xfId="516"/>
    <cellStyle name="Input 2 2" xfId="517"/>
    <cellStyle name="Input 2 3" xfId="518"/>
    <cellStyle name="Input 2 4" xfId="519"/>
    <cellStyle name="Input 2 5" xfId="520"/>
    <cellStyle name="Input 2 6" xfId="521"/>
    <cellStyle name="Input 2 7" xfId="522"/>
    <cellStyle name="Linked Cell 2" xfId="523"/>
    <cellStyle name="Neutral 2" xfId="524"/>
    <cellStyle name="Normal" xfId="0" builtinId="0"/>
    <cellStyle name="Normal 10" xfId="10"/>
    <cellStyle name="Normal 10 10" xfId="525"/>
    <cellStyle name="Normal 10 10 2" xfId="526"/>
    <cellStyle name="Normal 10 10 3" xfId="527"/>
    <cellStyle name="Normal 10 11" xfId="528"/>
    <cellStyle name="Normal 10 11 2" xfId="529"/>
    <cellStyle name="Normal 10 11 3" xfId="530"/>
    <cellStyle name="Normal 10 12" xfId="531"/>
    <cellStyle name="Normal 10 12 2" xfId="532"/>
    <cellStyle name="Normal 10 12 3" xfId="533"/>
    <cellStyle name="Normal 10 13" xfId="534"/>
    <cellStyle name="Normal 10 13 2" xfId="535"/>
    <cellStyle name="Normal 10 13 3" xfId="536"/>
    <cellStyle name="Normal 10 14" xfId="537"/>
    <cellStyle name="Normal 10 14 2" xfId="538"/>
    <cellStyle name="Normal 10 14 3" xfId="539"/>
    <cellStyle name="Normal 10 15" xfId="540"/>
    <cellStyle name="Normal 10 15 2" xfId="541"/>
    <cellStyle name="Normal 10 15 3" xfId="542"/>
    <cellStyle name="Normal 10 16" xfId="543"/>
    <cellStyle name="Normal 10 16 2" xfId="544"/>
    <cellStyle name="Normal 10 16 3" xfId="545"/>
    <cellStyle name="Normal 10 17" xfId="546"/>
    <cellStyle name="Normal 10 18" xfId="547"/>
    <cellStyle name="Normal 10 19" xfId="400"/>
    <cellStyle name="Normal 10 2" xfId="246"/>
    <cellStyle name="Normal 10 2 2" xfId="247"/>
    <cellStyle name="Normal 10 2 3" xfId="548"/>
    <cellStyle name="Normal 10 2 4" xfId="2418"/>
    <cellStyle name="Normal 10 20" xfId="2389"/>
    <cellStyle name="Normal 10 3" xfId="248"/>
    <cellStyle name="Normal 10 3 2" xfId="249"/>
    <cellStyle name="Normal 10 3 3" xfId="250"/>
    <cellStyle name="Normal 10 4" xfId="251"/>
    <cellStyle name="Normal 10 4 2" xfId="549"/>
    <cellStyle name="Normal 10 4 3" xfId="550"/>
    <cellStyle name="Normal 10 5" xfId="551"/>
    <cellStyle name="Normal 10 5 2" xfId="552"/>
    <cellStyle name="Normal 10 5 3" xfId="553"/>
    <cellStyle name="Normal 10 6" xfId="554"/>
    <cellStyle name="Normal 10 6 2" xfId="555"/>
    <cellStyle name="Normal 10 6 3" xfId="556"/>
    <cellStyle name="Normal 10 7" xfId="557"/>
    <cellStyle name="Normal 10 7 2" xfId="558"/>
    <cellStyle name="Normal 10 7 3" xfId="559"/>
    <cellStyle name="Normal 10 8" xfId="560"/>
    <cellStyle name="Normal 10 8 2" xfId="561"/>
    <cellStyle name="Normal 10 8 3" xfId="562"/>
    <cellStyle name="Normal 10 9" xfId="563"/>
    <cellStyle name="Normal 10 9 2" xfId="564"/>
    <cellStyle name="Normal 10 9 3" xfId="565"/>
    <cellStyle name="Normal 11" xfId="11"/>
    <cellStyle name="Normal 11 2" xfId="252"/>
    <cellStyle name="Normal 11 3" xfId="253"/>
    <cellStyle name="Normal 11 4" xfId="566"/>
    <cellStyle name="Normal 12" xfId="254"/>
    <cellStyle name="Normal 12 10" xfId="567"/>
    <cellStyle name="Normal 12 10 2" xfId="568"/>
    <cellStyle name="Normal 12 10 3" xfId="569"/>
    <cellStyle name="Normal 12 11" xfId="570"/>
    <cellStyle name="Normal 12 11 2" xfId="571"/>
    <cellStyle name="Normal 12 11 3" xfId="572"/>
    <cellStyle name="Normal 12 12" xfId="573"/>
    <cellStyle name="Normal 12 12 2" xfId="574"/>
    <cellStyle name="Normal 12 12 3" xfId="575"/>
    <cellStyle name="Normal 12 13" xfId="576"/>
    <cellStyle name="Normal 12 13 2" xfId="577"/>
    <cellStyle name="Normal 12 13 3" xfId="578"/>
    <cellStyle name="Normal 12 14" xfId="579"/>
    <cellStyle name="Normal 12 14 2" xfId="580"/>
    <cellStyle name="Normal 12 14 3" xfId="581"/>
    <cellStyle name="Normal 12 15" xfId="582"/>
    <cellStyle name="Normal 12 15 2" xfId="583"/>
    <cellStyle name="Normal 12 15 3" xfId="584"/>
    <cellStyle name="Normal 12 16" xfId="585"/>
    <cellStyle name="Normal 12 16 2" xfId="586"/>
    <cellStyle name="Normal 12 16 3" xfId="587"/>
    <cellStyle name="Normal 12 17" xfId="588"/>
    <cellStyle name="Normal 12 18" xfId="589"/>
    <cellStyle name="Normal 12 19" xfId="590"/>
    <cellStyle name="Normal 12 2" xfId="255"/>
    <cellStyle name="Normal 12 2 2" xfId="591"/>
    <cellStyle name="Normal 12 2 3" xfId="592"/>
    <cellStyle name="Normal 12 2 4" xfId="2419"/>
    <cellStyle name="Normal 12 3" xfId="593"/>
    <cellStyle name="Normal 12 3 2" xfId="594"/>
    <cellStyle name="Normal 12 3 3" xfId="595"/>
    <cellStyle name="Normal 12 4" xfId="596"/>
    <cellStyle name="Normal 12 4 2" xfId="597"/>
    <cellStyle name="Normal 12 4 3" xfId="598"/>
    <cellStyle name="Normal 12 5" xfId="599"/>
    <cellStyle name="Normal 12 5 2" xfId="600"/>
    <cellStyle name="Normal 12 5 3" xfId="601"/>
    <cellStyle name="Normal 12 6" xfId="602"/>
    <cellStyle name="Normal 12 6 2" xfId="603"/>
    <cellStyle name="Normal 12 6 3" xfId="604"/>
    <cellStyle name="Normal 12 7" xfId="605"/>
    <cellStyle name="Normal 12 7 2" xfId="606"/>
    <cellStyle name="Normal 12 7 3" xfId="607"/>
    <cellStyle name="Normal 12 8" xfId="608"/>
    <cellStyle name="Normal 12 8 2" xfId="609"/>
    <cellStyle name="Normal 12 8 3" xfId="610"/>
    <cellStyle name="Normal 12 9" xfId="611"/>
    <cellStyle name="Normal 12 9 2" xfId="612"/>
    <cellStyle name="Normal 12 9 3" xfId="613"/>
    <cellStyle name="Normal 13" xfId="256"/>
    <cellStyle name="Normal 13 2" xfId="257"/>
    <cellStyle name="Normal 14" xfId="258"/>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259"/>
    <cellStyle name="Normal 14 2 2" xfId="260"/>
    <cellStyle name="Normal 14 2 3" xfId="638"/>
    <cellStyle name="Normal 14 3" xfId="261"/>
    <cellStyle name="Normal 14 3 2" xfId="639"/>
    <cellStyle name="Normal 14 3 3" xfId="640"/>
    <cellStyle name="Normal 14 4" xfId="641"/>
    <cellStyle name="Normal 14 4 2" xfId="642"/>
    <cellStyle name="Normal 14 4 3" xfId="643"/>
    <cellStyle name="Normal 14 5" xfId="644"/>
    <cellStyle name="Normal 14 5 2" xfId="645"/>
    <cellStyle name="Normal 14 5 3" xfId="646"/>
    <cellStyle name="Normal 14 6" xfId="647"/>
    <cellStyle name="Normal 14 6 2" xfId="648"/>
    <cellStyle name="Normal 14 6 3" xfId="649"/>
    <cellStyle name="Normal 14 7" xfId="650"/>
    <cellStyle name="Normal 14 7 2" xfId="651"/>
    <cellStyle name="Normal 14 7 3" xfId="652"/>
    <cellStyle name="Normal 14 8" xfId="653"/>
    <cellStyle name="Normal 14 8 2" xfId="654"/>
    <cellStyle name="Normal 14 8 3" xfId="655"/>
    <cellStyle name="Normal 14 9" xfId="656"/>
    <cellStyle name="Normal 14 9 2" xfId="657"/>
    <cellStyle name="Normal 14 9 3" xfId="658"/>
    <cellStyle name="Normal 15" xfId="262"/>
    <cellStyle name="Normal 15 2" xfId="263"/>
    <cellStyle name="Normal 15 3" xfId="264"/>
    <cellStyle name="Normal 15 4" xfId="265"/>
    <cellStyle name="Normal 16" xfId="266"/>
    <cellStyle name="Normal 16 10" xfId="659"/>
    <cellStyle name="Normal 16 10 2" xfId="660"/>
    <cellStyle name="Normal 16 10 3" xfId="661"/>
    <cellStyle name="Normal 16 11" xfId="662"/>
    <cellStyle name="Normal 16 11 2" xfId="663"/>
    <cellStyle name="Normal 16 11 3" xfId="664"/>
    <cellStyle name="Normal 16 12" xfId="665"/>
    <cellStyle name="Normal 16 12 2" xfId="666"/>
    <cellStyle name="Normal 16 12 3" xfId="667"/>
    <cellStyle name="Normal 16 13" xfId="668"/>
    <cellStyle name="Normal 16 13 2" xfId="669"/>
    <cellStyle name="Normal 16 13 3" xfId="670"/>
    <cellStyle name="Normal 16 14" xfId="671"/>
    <cellStyle name="Normal 16 14 2" xfId="672"/>
    <cellStyle name="Normal 16 14 3" xfId="673"/>
    <cellStyle name="Normal 16 15" xfId="674"/>
    <cellStyle name="Normal 16 15 2" xfId="675"/>
    <cellStyle name="Normal 16 15 3" xfId="676"/>
    <cellStyle name="Normal 16 16" xfId="677"/>
    <cellStyle name="Normal 16 16 2" xfId="678"/>
    <cellStyle name="Normal 16 16 3" xfId="679"/>
    <cellStyle name="Normal 16 17" xfId="680"/>
    <cellStyle name="Normal 16 18" xfId="681"/>
    <cellStyle name="Normal 16 19" xfId="682"/>
    <cellStyle name="Normal 16 2" xfId="683"/>
    <cellStyle name="Normal 16 2 2" xfId="684"/>
    <cellStyle name="Normal 16 2 3" xfId="685"/>
    <cellStyle name="Normal 16 3" xfId="686"/>
    <cellStyle name="Normal 16 3 2" xfId="687"/>
    <cellStyle name="Normal 16 3 3" xfId="688"/>
    <cellStyle name="Normal 16 4" xfId="689"/>
    <cellStyle name="Normal 16 4 2" xfId="690"/>
    <cellStyle name="Normal 16 4 3" xfId="691"/>
    <cellStyle name="Normal 16 5" xfId="692"/>
    <cellStyle name="Normal 16 5 2" xfId="693"/>
    <cellStyle name="Normal 16 5 3" xfId="694"/>
    <cellStyle name="Normal 16 6" xfId="695"/>
    <cellStyle name="Normal 16 6 2" xfId="696"/>
    <cellStyle name="Normal 16 6 3" xfId="697"/>
    <cellStyle name="Normal 16 7" xfId="698"/>
    <cellStyle name="Normal 16 7 2" xfId="699"/>
    <cellStyle name="Normal 16 7 3" xfId="700"/>
    <cellStyle name="Normal 16 8" xfId="701"/>
    <cellStyle name="Normal 16 8 2" xfId="702"/>
    <cellStyle name="Normal 16 8 3" xfId="703"/>
    <cellStyle name="Normal 16 9" xfId="704"/>
    <cellStyle name="Normal 16 9 2" xfId="705"/>
    <cellStyle name="Normal 16 9 3" xfId="706"/>
    <cellStyle name="Normal 17" xfId="267"/>
    <cellStyle name="Normal 18" xfId="268"/>
    <cellStyle name="Normal 18 10" xfId="707"/>
    <cellStyle name="Normal 18 10 2" xfId="708"/>
    <cellStyle name="Normal 18 10 3" xfId="709"/>
    <cellStyle name="Normal 18 11" xfId="710"/>
    <cellStyle name="Normal 18 11 2" xfId="711"/>
    <cellStyle name="Normal 18 11 3" xfId="712"/>
    <cellStyle name="Normal 18 12" xfId="713"/>
    <cellStyle name="Normal 18 12 2" xfId="714"/>
    <cellStyle name="Normal 18 12 3" xfId="715"/>
    <cellStyle name="Normal 18 13" xfId="716"/>
    <cellStyle name="Normal 18 13 2" xfId="717"/>
    <cellStyle name="Normal 18 13 3" xfId="718"/>
    <cellStyle name="Normal 18 14" xfId="719"/>
    <cellStyle name="Normal 18 14 2" xfId="720"/>
    <cellStyle name="Normal 18 14 3" xfId="721"/>
    <cellStyle name="Normal 18 15" xfId="722"/>
    <cellStyle name="Normal 18 15 2" xfId="723"/>
    <cellStyle name="Normal 18 15 3" xfId="724"/>
    <cellStyle name="Normal 18 16" xfId="725"/>
    <cellStyle name="Normal 18 16 2" xfId="726"/>
    <cellStyle name="Normal 18 16 3" xfId="727"/>
    <cellStyle name="Normal 18 17" xfId="728"/>
    <cellStyle name="Normal 18 18" xfId="729"/>
    <cellStyle name="Normal 18 19" xfId="730"/>
    <cellStyle name="Normal 18 2" xfId="731"/>
    <cellStyle name="Normal 18 2 2" xfId="732"/>
    <cellStyle name="Normal 18 2 3" xfId="733"/>
    <cellStyle name="Normal 18 3" xfId="734"/>
    <cellStyle name="Normal 18 3 2" xfId="735"/>
    <cellStyle name="Normal 18 3 3" xfId="736"/>
    <cellStyle name="Normal 18 4" xfId="737"/>
    <cellStyle name="Normal 18 4 2" xfId="738"/>
    <cellStyle name="Normal 18 4 3" xfId="739"/>
    <cellStyle name="Normal 18 5" xfId="740"/>
    <cellStyle name="Normal 18 5 2" xfId="741"/>
    <cellStyle name="Normal 18 5 3" xfId="742"/>
    <cellStyle name="Normal 18 6" xfId="743"/>
    <cellStyle name="Normal 18 6 2" xfId="744"/>
    <cellStyle name="Normal 18 6 3" xfId="745"/>
    <cellStyle name="Normal 18 7" xfId="746"/>
    <cellStyle name="Normal 18 7 2" xfId="747"/>
    <cellStyle name="Normal 18 7 3" xfId="748"/>
    <cellStyle name="Normal 18 8" xfId="749"/>
    <cellStyle name="Normal 18 8 2" xfId="750"/>
    <cellStyle name="Normal 18 8 3" xfId="751"/>
    <cellStyle name="Normal 18 9" xfId="752"/>
    <cellStyle name="Normal 18 9 2" xfId="753"/>
    <cellStyle name="Normal 18 9 3" xfId="754"/>
    <cellStyle name="Normal 19" xfId="269"/>
    <cellStyle name="Normal 2" xfId="12"/>
    <cellStyle name="Normal 2 10" xfId="755"/>
    <cellStyle name="Normal 2 10 2" xfId="756"/>
    <cellStyle name="Normal 2 10 3" xfId="757"/>
    <cellStyle name="Normal 2 11" xfId="758"/>
    <cellStyle name="Normal 2 11 2" xfId="759"/>
    <cellStyle name="Normal 2 11 3" xfId="760"/>
    <cellStyle name="Normal 2 12" xfId="761"/>
    <cellStyle name="Normal 2 12 2" xfId="762"/>
    <cellStyle name="Normal 2 12 3" xfId="763"/>
    <cellStyle name="Normal 2 13" xfId="764"/>
    <cellStyle name="Normal 2 13 2" xfId="765"/>
    <cellStyle name="Normal 2 13 3" xfId="766"/>
    <cellStyle name="Normal 2 14" xfId="767"/>
    <cellStyle name="Normal 2 14 2" xfId="768"/>
    <cellStyle name="Normal 2 14 3" xfId="769"/>
    <cellStyle name="Normal 2 15" xfId="770"/>
    <cellStyle name="Normal 2 15 2" xfId="771"/>
    <cellStyle name="Normal 2 15 3" xfId="772"/>
    <cellStyle name="Normal 2 16" xfId="773"/>
    <cellStyle name="Normal 2 16 2" xfId="774"/>
    <cellStyle name="Normal 2 16 3" xfId="775"/>
    <cellStyle name="Normal 2 17" xfId="776"/>
    <cellStyle name="Normal 2 17 2" xfId="777"/>
    <cellStyle name="Normal 2 17 3" xfId="778"/>
    <cellStyle name="Normal 2 18" xfId="779"/>
    <cellStyle name="Normal 2 18 2" xfId="780"/>
    <cellStyle name="Normal 2 18 3" xfId="781"/>
    <cellStyle name="Normal 2 19" xfId="782"/>
    <cellStyle name="Normal 2 19 2" xfId="783"/>
    <cellStyle name="Normal 2 19 3" xfId="784"/>
    <cellStyle name="Normal 2 2" xfId="13"/>
    <cellStyle name="Normal 2 2 10" xfId="270"/>
    <cellStyle name="Normal 2 2 11" xfId="271"/>
    <cellStyle name="Normal 2 2 2" xfId="14"/>
    <cellStyle name="Normal 2 2 2 10" xfId="785"/>
    <cellStyle name="Normal 2 2 2 11" xfId="786"/>
    <cellStyle name="Normal 2 2 2 12" xfId="787"/>
    <cellStyle name="Normal 2 2 2 13" xfId="788"/>
    <cellStyle name="Normal 2 2 2 14" xfId="789"/>
    <cellStyle name="Normal 2 2 2 15" xfId="790"/>
    <cellStyle name="Normal 2 2 2 16" xfId="791"/>
    <cellStyle name="Normal 2 2 2 17" xfId="792"/>
    <cellStyle name="Normal 2 2 2 18" xfId="793"/>
    <cellStyle name="Normal 2 2 2 19" xfId="794"/>
    <cellStyle name="Normal 2 2 2 2" xfId="272"/>
    <cellStyle name="Normal 2 2 2 2 2" xfId="273"/>
    <cellStyle name="Normal 2 2 2 20" xfId="795"/>
    <cellStyle name="Normal 2 2 2 21" xfId="796"/>
    <cellStyle name="Normal 2 2 2 22" xfId="797"/>
    <cellStyle name="Normal 2 2 2 23" xfId="798"/>
    <cellStyle name="Normal 2 2 2 3" xfId="799"/>
    <cellStyle name="Normal 2 2 2 4" xfId="800"/>
    <cellStyle name="Normal 2 2 2 5" xfId="801"/>
    <cellStyle name="Normal 2 2 2 6" xfId="802"/>
    <cellStyle name="Normal 2 2 2 7" xfId="803"/>
    <cellStyle name="Normal 2 2 2 8" xfId="804"/>
    <cellStyle name="Normal 2 2 2 9" xfId="805"/>
    <cellStyle name="Normal 2 2 3" xfId="274"/>
    <cellStyle name="Normal 2 2 3 10" xfId="806"/>
    <cellStyle name="Normal 2 2 3 11" xfId="807"/>
    <cellStyle name="Normal 2 2 3 12" xfId="808"/>
    <cellStyle name="Normal 2 2 3 13" xfId="809"/>
    <cellStyle name="Normal 2 2 3 14" xfId="810"/>
    <cellStyle name="Normal 2 2 3 15" xfId="811"/>
    <cellStyle name="Normal 2 2 3 16" xfId="812"/>
    <cellStyle name="Normal 2 2 3 17" xfId="813"/>
    <cellStyle name="Normal 2 2 3 17 2" xfId="814"/>
    <cellStyle name="Normal 2 2 3 17 3" xfId="815"/>
    <cellStyle name="Normal 2 2 3 18" xfId="816"/>
    <cellStyle name="Normal 2 2 3 18 2" xfId="817"/>
    <cellStyle name="Normal 2 2 3 18 3" xfId="818"/>
    <cellStyle name="Normal 2 2 3 19" xfId="819"/>
    <cellStyle name="Normal 2 2 3 2" xfId="275"/>
    <cellStyle name="Normal 2 2 3 2 2" xfId="276"/>
    <cellStyle name="Normal 2 2 3 20" xfId="820"/>
    <cellStyle name="Normal 2 2 3 21" xfId="821"/>
    <cellStyle name="Normal 2 2 3 22" xfId="822"/>
    <cellStyle name="Normal 2 2 3 3" xfId="277"/>
    <cellStyle name="Normal 2 2 3 3 2" xfId="278"/>
    <cellStyle name="Normal 2 2 3 4" xfId="279"/>
    <cellStyle name="Normal 2 2 3 4 2" xfId="280"/>
    <cellStyle name="Normal 2 2 3 5" xfId="281"/>
    <cellStyle name="Normal 2 2 3 5 2" xfId="823"/>
    <cellStyle name="Normal 2 2 3 6" xfId="282"/>
    <cellStyle name="Normal 2 2 3 6 2" xfId="824"/>
    <cellStyle name="Normal 2 2 3 7" xfId="283"/>
    <cellStyle name="Normal 2 2 3 7 2" xfId="825"/>
    <cellStyle name="Normal 2 2 3 8" xfId="826"/>
    <cellStyle name="Normal 2 2 3 9" xfId="827"/>
    <cellStyle name="Normal 2 2 4" xfId="284"/>
    <cellStyle name="Normal 2 2 4 10" xfId="828"/>
    <cellStyle name="Normal 2 2 4 11" xfId="829"/>
    <cellStyle name="Normal 2 2 4 12" xfId="830"/>
    <cellStyle name="Normal 2 2 4 13" xfId="831"/>
    <cellStyle name="Normal 2 2 4 14" xfId="832"/>
    <cellStyle name="Normal 2 2 4 15" xfId="833"/>
    <cellStyle name="Normal 2 2 4 16" xfId="834"/>
    <cellStyle name="Normal 2 2 4 17" xfId="835"/>
    <cellStyle name="Normal 2 2 4 18" xfId="836"/>
    <cellStyle name="Normal 2 2 4 19" xfId="837"/>
    <cellStyle name="Normal 2 2 4 2" xfId="285"/>
    <cellStyle name="Normal 2 2 4 2 2" xfId="286"/>
    <cellStyle name="Normal 2 2 4 20" xfId="838"/>
    <cellStyle name="Normal 2 2 4 3" xfId="287"/>
    <cellStyle name="Normal 2 2 4 3 2" xfId="288"/>
    <cellStyle name="Normal 2 2 4 4" xfId="289"/>
    <cellStyle name="Normal 2 2 4 4 2" xfId="839"/>
    <cellStyle name="Normal 2 2 4 5" xfId="290"/>
    <cellStyle name="Normal 2 2 4 6" xfId="291"/>
    <cellStyle name="Normal 2 2 4 7" xfId="840"/>
    <cellStyle name="Normal 2 2 4 8" xfId="841"/>
    <cellStyle name="Normal 2 2 4 9" xfId="842"/>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3"/>
    <cellStyle name="Normal 2 20 2" xfId="844"/>
    <cellStyle name="Normal 2 20 3" xfId="845"/>
    <cellStyle name="Normal 2 21" xfId="846"/>
    <cellStyle name="Normal 2 21 2" xfId="847"/>
    <cellStyle name="Normal 2 21 3" xfId="848"/>
    <cellStyle name="Normal 2 22" xfId="849"/>
    <cellStyle name="Normal 2 22 2" xfId="850"/>
    <cellStyle name="Normal 2 22 3" xfId="851"/>
    <cellStyle name="Normal 2 23" xfId="852"/>
    <cellStyle name="Normal 2 23 2" xfId="853"/>
    <cellStyle name="Normal 2 23 3" xfId="854"/>
    <cellStyle name="Normal 2 24" xfId="855"/>
    <cellStyle name="Normal 2 24 2" xfId="856"/>
    <cellStyle name="Normal 2 24 3" xfId="857"/>
    <cellStyle name="Normal 2 25" xfId="858"/>
    <cellStyle name="Normal 2 25 2" xfId="859"/>
    <cellStyle name="Normal 2 25 3" xfId="860"/>
    <cellStyle name="Normal 2 26" xfId="861"/>
    <cellStyle name="Normal 2 26 2" xfId="862"/>
    <cellStyle name="Normal 2 26 3" xfId="863"/>
    <cellStyle name="Normal 2 27" xfId="864"/>
    <cellStyle name="Normal 2 27 2" xfId="865"/>
    <cellStyle name="Normal 2 27 3" xfId="866"/>
    <cellStyle name="Normal 2 28" xfId="867"/>
    <cellStyle name="Normal 2 28 2" xfId="868"/>
    <cellStyle name="Normal 2 28 3" xfId="869"/>
    <cellStyle name="Normal 2 29" xfId="870"/>
    <cellStyle name="Normal 2 29 2" xfId="871"/>
    <cellStyle name="Normal 2 29 3" xfId="872"/>
    <cellStyle name="Normal 2 3" xfId="1"/>
    <cellStyle name="Normal 2 3 2" xfId="15"/>
    <cellStyle name="Normal 2 3 2 2" xfId="301"/>
    <cellStyle name="Normal 2 3 2 3" xfId="873"/>
    <cellStyle name="Normal 2 3 2 4" xfId="874"/>
    <cellStyle name="Normal 2 3 3" xfId="302"/>
    <cellStyle name="Normal 2 3 3 2" xfId="303"/>
    <cellStyle name="Normal 2 3 3 3" xfId="875"/>
    <cellStyle name="Normal 2 3 4" xfId="304"/>
    <cellStyle name="Normal 2 3 4 2" xfId="305"/>
    <cellStyle name="Normal 2 3 4 3" xfId="876"/>
    <cellStyle name="Normal 2 3 5" xfId="306"/>
    <cellStyle name="Normal 2 3 5 2" xfId="307"/>
    <cellStyle name="Normal 2 3 6" xfId="308"/>
    <cellStyle name="Normal 2 3 7" xfId="309"/>
    <cellStyle name="Normal 2 3 8" xfId="310"/>
    <cellStyle name="Normal 2 30" xfId="877"/>
    <cellStyle name="Normal 2 30 2" xfId="878"/>
    <cellStyle name="Normal 2 30 3" xfId="879"/>
    <cellStyle name="Normal 2 31" xfId="880"/>
    <cellStyle name="Normal 2 31 2" xfId="881"/>
    <cellStyle name="Normal 2 31 3" xfId="882"/>
    <cellStyle name="Normal 2 32" xfId="883"/>
    <cellStyle name="Normal 2 32 10" xfId="884"/>
    <cellStyle name="Normal 2 32 11" xfId="885"/>
    <cellStyle name="Normal 2 32 12" xfId="886"/>
    <cellStyle name="Normal 2 32 13" xfId="887"/>
    <cellStyle name="Normal 2 32 14" xfId="888"/>
    <cellStyle name="Normal 2 32 15" xfId="889"/>
    <cellStyle name="Normal 2 32 16" xfId="890"/>
    <cellStyle name="Normal 2 32 2" xfId="891"/>
    <cellStyle name="Normal 2 32 3" xfId="892"/>
    <cellStyle name="Normal 2 32 4" xfId="893"/>
    <cellStyle name="Normal 2 32 5" xfId="894"/>
    <cellStyle name="Normal 2 32 6" xfId="895"/>
    <cellStyle name="Normal 2 32 7" xfId="896"/>
    <cellStyle name="Normal 2 32 8" xfId="897"/>
    <cellStyle name="Normal 2 32 9" xfId="898"/>
    <cellStyle name="Normal 2 33" xfId="899"/>
    <cellStyle name="Normal 2 33 10" xfId="900"/>
    <cellStyle name="Normal 2 33 11" xfId="901"/>
    <cellStyle name="Normal 2 33 12" xfId="902"/>
    <cellStyle name="Normal 2 33 13" xfId="903"/>
    <cellStyle name="Normal 2 33 14" xfId="904"/>
    <cellStyle name="Normal 2 33 15" xfId="905"/>
    <cellStyle name="Normal 2 33 16" xfId="906"/>
    <cellStyle name="Normal 2 33 2" xfId="907"/>
    <cellStyle name="Normal 2 33 3" xfId="908"/>
    <cellStyle name="Normal 2 33 4" xfId="909"/>
    <cellStyle name="Normal 2 33 5" xfId="910"/>
    <cellStyle name="Normal 2 33 6" xfId="911"/>
    <cellStyle name="Normal 2 33 7" xfId="912"/>
    <cellStyle name="Normal 2 33 8" xfId="913"/>
    <cellStyle name="Normal 2 33 9" xfId="914"/>
    <cellStyle name="Normal 2 34" xfId="915"/>
    <cellStyle name="Normal 2 34 10" xfId="916"/>
    <cellStyle name="Normal 2 34 11" xfId="917"/>
    <cellStyle name="Normal 2 34 12" xfId="918"/>
    <cellStyle name="Normal 2 34 13" xfId="919"/>
    <cellStyle name="Normal 2 34 14" xfId="920"/>
    <cellStyle name="Normal 2 34 15" xfId="921"/>
    <cellStyle name="Normal 2 34 16" xfId="922"/>
    <cellStyle name="Normal 2 34 2" xfId="923"/>
    <cellStyle name="Normal 2 34 3" xfId="924"/>
    <cellStyle name="Normal 2 34 4" xfId="925"/>
    <cellStyle name="Normal 2 34 5" xfId="926"/>
    <cellStyle name="Normal 2 34 6" xfId="927"/>
    <cellStyle name="Normal 2 34 7" xfId="928"/>
    <cellStyle name="Normal 2 34 8" xfId="929"/>
    <cellStyle name="Normal 2 34 9" xfId="930"/>
    <cellStyle name="Normal 2 35" xfId="931"/>
    <cellStyle name="Normal 2 35 10" xfId="932"/>
    <cellStyle name="Normal 2 35 11" xfId="933"/>
    <cellStyle name="Normal 2 35 12" xfId="934"/>
    <cellStyle name="Normal 2 35 13" xfId="935"/>
    <cellStyle name="Normal 2 35 14" xfId="936"/>
    <cellStyle name="Normal 2 35 15" xfId="937"/>
    <cellStyle name="Normal 2 35 16" xfId="938"/>
    <cellStyle name="Normal 2 35 2" xfId="939"/>
    <cellStyle name="Normal 2 35 3" xfId="940"/>
    <cellStyle name="Normal 2 35 4" xfId="941"/>
    <cellStyle name="Normal 2 35 5" xfId="942"/>
    <cellStyle name="Normal 2 35 6" xfId="943"/>
    <cellStyle name="Normal 2 35 7" xfId="944"/>
    <cellStyle name="Normal 2 35 8" xfId="945"/>
    <cellStyle name="Normal 2 35 9" xfId="946"/>
    <cellStyle name="Normal 2 36" xfId="947"/>
    <cellStyle name="Normal 2 36 10" xfId="948"/>
    <cellStyle name="Normal 2 36 11" xfId="949"/>
    <cellStyle name="Normal 2 36 12" xfId="950"/>
    <cellStyle name="Normal 2 36 13" xfId="951"/>
    <cellStyle name="Normal 2 36 14" xfId="952"/>
    <cellStyle name="Normal 2 36 15" xfId="953"/>
    <cellStyle name="Normal 2 36 16" xfId="954"/>
    <cellStyle name="Normal 2 36 2" xfId="955"/>
    <cellStyle name="Normal 2 36 3" xfId="956"/>
    <cellStyle name="Normal 2 36 4" xfId="957"/>
    <cellStyle name="Normal 2 36 5" xfId="958"/>
    <cellStyle name="Normal 2 36 6" xfId="959"/>
    <cellStyle name="Normal 2 36 7" xfId="960"/>
    <cellStyle name="Normal 2 36 8" xfId="961"/>
    <cellStyle name="Normal 2 36 9" xfId="962"/>
    <cellStyle name="Normal 2 37" xfId="963"/>
    <cellStyle name="Normal 2 37 10" xfId="964"/>
    <cellStyle name="Normal 2 37 11" xfId="965"/>
    <cellStyle name="Normal 2 37 12" xfId="966"/>
    <cellStyle name="Normal 2 37 13" xfId="967"/>
    <cellStyle name="Normal 2 37 14" xfId="968"/>
    <cellStyle name="Normal 2 37 15" xfId="969"/>
    <cellStyle name="Normal 2 37 16" xfId="970"/>
    <cellStyle name="Normal 2 37 2" xfId="971"/>
    <cellStyle name="Normal 2 37 3" xfId="972"/>
    <cellStyle name="Normal 2 37 4" xfId="973"/>
    <cellStyle name="Normal 2 37 5" xfId="974"/>
    <cellStyle name="Normal 2 37 6" xfId="975"/>
    <cellStyle name="Normal 2 37 7" xfId="976"/>
    <cellStyle name="Normal 2 37 8" xfId="977"/>
    <cellStyle name="Normal 2 37 9" xfId="978"/>
    <cellStyle name="Normal 2 38" xfId="979"/>
    <cellStyle name="Normal 2 38 10" xfId="980"/>
    <cellStyle name="Normal 2 38 11" xfId="981"/>
    <cellStyle name="Normal 2 38 12" xfId="982"/>
    <cellStyle name="Normal 2 38 13" xfId="983"/>
    <cellStyle name="Normal 2 38 14" xfId="984"/>
    <cellStyle name="Normal 2 38 15" xfId="985"/>
    <cellStyle name="Normal 2 38 16" xfId="986"/>
    <cellStyle name="Normal 2 38 2" xfId="987"/>
    <cellStyle name="Normal 2 38 3" xfId="988"/>
    <cellStyle name="Normal 2 38 4" xfId="989"/>
    <cellStyle name="Normal 2 38 5" xfId="990"/>
    <cellStyle name="Normal 2 38 6" xfId="991"/>
    <cellStyle name="Normal 2 38 7" xfId="992"/>
    <cellStyle name="Normal 2 38 8" xfId="993"/>
    <cellStyle name="Normal 2 38 9" xfId="994"/>
    <cellStyle name="Normal 2 39" xfId="995"/>
    <cellStyle name="Normal 2 39 10" xfId="996"/>
    <cellStyle name="Normal 2 39 11" xfId="997"/>
    <cellStyle name="Normal 2 39 12" xfId="998"/>
    <cellStyle name="Normal 2 39 13" xfId="999"/>
    <cellStyle name="Normal 2 39 14" xfId="1000"/>
    <cellStyle name="Normal 2 39 15" xfId="1001"/>
    <cellStyle name="Normal 2 39 16" xfId="1002"/>
    <cellStyle name="Normal 2 39 2" xfId="1003"/>
    <cellStyle name="Normal 2 39 3" xfId="1004"/>
    <cellStyle name="Normal 2 39 4" xfId="1005"/>
    <cellStyle name="Normal 2 39 5" xfId="1006"/>
    <cellStyle name="Normal 2 39 6" xfId="1007"/>
    <cellStyle name="Normal 2 39 7" xfId="1008"/>
    <cellStyle name="Normal 2 39 8" xfId="1009"/>
    <cellStyle name="Normal 2 39 9" xfId="1010"/>
    <cellStyle name="Normal 2 4" xfId="16"/>
    <cellStyle name="Normal 2 4 2" xfId="311"/>
    <cellStyle name="Normal 2 4 3" xfId="1011"/>
    <cellStyle name="Normal 2 4 4" xfId="1012"/>
    <cellStyle name="Normal 2 40" xfId="1013"/>
    <cellStyle name="Normal 2 40 10" xfId="1014"/>
    <cellStyle name="Normal 2 40 11" xfId="1015"/>
    <cellStyle name="Normal 2 40 12" xfId="1016"/>
    <cellStyle name="Normal 2 40 13" xfId="1017"/>
    <cellStyle name="Normal 2 40 14" xfId="1018"/>
    <cellStyle name="Normal 2 40 15" xfId="1019"/>
    <cellStyle name="Normal 2 40 16" xfId="1020"/>
    <cellStyle name="Normal 2 40 2" xfId="1021"/>
    <cellStyle name="Normal 2 40 3" xfId="1022"/>
    <cellStyle name="Normal 2 40 4" xfId="1023"/>
    <cellStyle name="Normal 2 40 5" xfId="1024"/>
    <cellStyle name="Normal 2 40 6" xfId="1025"/>
    <cellStyle name="Normal 2 40 7" xfId="1026"/>
    <cellStyle name="Normal 2 40 8" xfId="1027"/>
    <cellStyle name="Normal 2 40 9" xfId="1028"/>
    <cellStyle name="Normal 2 41" xfId="1029"/>
    <cellStyle name="Normal 2 41 10" xfId="1030"/>
    <cellStyle name="Normal 2 41 11" xfId="1031"/>
    <cellStyle name="Normal 2 41 12" xfId="1032"/>
    <cellStyle name="Normal 2 41 13" xfId="1033"/>
    <cellStyle name="Normal 2 41 14" xfId="1034"/>
    <cellStyle name="Normal 2 41 15" xfId="1035"/>
    <cellStyle name="Normal 2 41 16" xfId="1036"/>
    <cellStyle name="Normal 2 41 2" xfId="1037"/>
    <cellStyle name="Normal 2 41 3" xfId="1038"/>
    <cellStyle name="Normal 2 41 4" xfId="1039"/>
    <cellStyle name="Normal 2 41 5" xfId="1040"/>
    <cellStyle name="Normal 2 41 6" xfId="1041"/>
    <cellStyle name="Normal 2 41 7" xfId="1042"/>
    <cellStyle name="Normal 2 41 8" xfId="1043"/>
    <cellStyle name="Normal 2 41 9" xfId="1044"/>
    <cellStyle name="Normal 2 42" xfId="1045"/>
    <cellStyle name="Normal 2 42 10" xfId="1046"/>
    <cellStyle name="Normal 2 42 11" xfId="1047"/>
    <cellStyle name="Normal 2 42 12" xfId="1048"/>
    <cellStyle name="Normal 2 42 13" xfId="1049"/>
    <cellStyle name="Normal 2 42 14" xfId="1050"/>
    <cellStyle name="Normal 2 42 15" xfId="1051"/>
    <cellStyle name="Normal 2 42 16" xfId="1052"/>
    <cellStyle name="Normal 2 42 2" xfId="1053"/>
    <cellStyle name="Normal 2 42 3" xfId="1054"/>
    <cellStyle name="Normal 2 42 4" xfId="1055"/>
    <cellStyle name="Normal 2 42 5" xfId="1056"/>
    <cellStyle name="Normal 2 42 6" xfId="1057"/>
    <cellStyle name="Normal 2 42 7" xfId="1058"/>
    <cellStyle name="Normal 2 42 8" xfId="1059"/>
    <cellStyle name="Normal 2 42 9" xfId="1060"/>
    <cellStyle name="Normal 2 43" xfId="1061"/>
    <cellStyle name="Normal 2 43 10" xfId="1062"/>
    <cellStyle name="Normal 2 43 11" xfId="1063"/>
    <cellStyle name="Normal 2 43 12" xfId="1064"/>
    <cellStyle name="Normal 2 43 13" xfId="1065"/>
    <cellStyle name="Normal 2 43 14" xfId="1066"/>
    <cellStyle name="Normal 2 43 15" xfId="1067"/>
    <cellStyle name="Normal 2 43 16" xfId="1068"/>
    <cellStyle name="Normal 2 43 2" xfId="1069"/>
    <cellStyle name="Normal 2 43 3" xfId="1070"/>
    <cellStyle name="Normal 2 43 4" xfId="1071"/>
    <cellStyle name="Normal 2 43 5" xfId="1072"/>
    <cellStyle name="Normal 2 43 6" xfId="1073"/>
    <cellStyle name="Normal 2 43 7" xfId="1074"/>
    <cellStyle name="Normal 2 43 8" xfId="1075"/>
    <cellStyle name="Normal 2 43 9" xfId="1076"/>
    <cellStyle name="Normal 2 44" xfId="1077"/>
    <cellStyle name="Normal 2 44 10" xfId="1078"/>
    <cellStyle name="Normal 2 44 11" xfId="1079"/>
    <cellStyle name="Normal 2 44 12" xfId="1080"/>
    <cellStyle name="Normal 2 44 13" xfId="1081"/>
    <cellStyle name="Normal 2 44 14" xfId="1082"/>
    <cellStyle name="Normal 2 44 15" xfId="1083"/>
    <cellStyle name="Normal 2 44 16" xfId="1084"/>
    <cellStyle name="Normal 2 44 2" xfId="1085"/>
    <cellStyle name="Normal 2 44 3" xfId="1086"/>
    <cellStyle name="Normal 2 44 4" xfId="1087"/>
    <cellStyle name="Normal 2 44 5" xfId="1088"/>
    <cellStyle name="Normal 2 44 6" xfId="1089"/>
    <cellStyle name="Normal 2 44 7" xfId="1090"/>
    <cellStyle name="Normal 2 44 8" xfId="1091"/>
    <cellStyle name="Normal 2 44 9" xfId="1092"/>
    <cellStyle name="Normal 2 45" xfId="1093"/>
    <cellStyle name="Normal 2 45 10" xfId="1094"/>
    <cellStyle name="Normal 2 45 11" xfId="1095"/>
    <cellStyle name="Normal 2 45 12" xfId="1096"/>
    <cellStyle name="Normal 2 45 13" xfId="1097"/>
    <cellStyle name="Normal 2 45 14" xfId="1098"/>
    <cellStyle name="Normal 2 45 15" xfId="1099"/>
    <cellStyle name="Normal 2 45 16" xfId="1100"/>
    <cellStyle name="Normal 2 45 2" xfId="1101"/>
    <cellStyle name="Normal 2 45 3" xfId="1102"/>
    <cellStyle name="Normal 2 45 4" xfId="1103"/>
    <cellStyle name="Normal 2 45 5" xfId="1104"/>
    <cellStyle name="Normal 2 45 6" xfId="1105"/>
    <cellStyle name="Normal 2 45 7" xfId="1106"/>
    <cellStyle name="Normal 2 45 8" xfId="1107"/>
    <cellStyle name="Normal 2 45 9" xfId="1108"/>
    <cellStyle name="Normal 2 46" xfId="1109"/>
    <cellStyle name="Normal 2 46 2" xfId="1110"/>
    <cellStyle name="Normal 2 46 3" xfId="1111"/>
    <cellStyle name="Normal 2 47" xfId="1112"/>
    <cellStyle name="Normal 2 47 2" xfId="1113"/>
    <cellStyle name="Normal 2 47 3" xfId="1114"/>
    <cellStyle name="Normal 2 48" xfId="1115"/>
    <cellStyle name="Normal 2 48 2" xfId="1116"/>
    <cellStyle name="Normal 2 48 3" xfId="1117"/>
    <cellStyle name="Normal 2 49" xfId="1118"/>
    <cellStyle name="Normal 2 49 2" xfId="1119"/>
    <cellStyle name="Normal 2 49 3" xfId="1120"/>
    <cellStyle name="Normal 2 5" xfId="312"/>
    <cellStyle name="Normal 2 5 2" xfId="313"/>
    <cellStyle name="Normal 2 5 3" xfId="1121"/>
    <cellStyle name="Normal 2 50" xfId="1122"/>
    <cellStyle name="Normal 2 50 2" xfId="1123"/>
    <cellStyle name="Normal 2 50 3" xfId="1124"/>
    <cellStyle name="Normal 2 51" xfId="1125"/>
    <cellStyle name="Normal 2 51 2" xfId="1126"/>
    <cellStyle name="Normal 2 51 3" xfId="1127"/>
    <cellStyle name="Normal 2 52" xfId="1128"/>
    <cellStyle name="Normal 2 52 2" xfId="1129"/>
    <cellStyle name="Normal 2 52 3" xfId="1130"/>
    <cellStyle name="Normal 2 53" xfId="1131"/>
    <cellStyle name="Normal 2 53 2" xfId="1132"/>
    <cellStyle name="Normal 2 53 3" xfId="1133"/>
    <cellStyle name="Normal 2 54" xfId="1134"/>
    <cellStyle name="Normal 2 54 2" xfId="1135"/>
    <cellStyle name="Normal 2 54 3" xfId="1136"/>
    <cellStyle name="Normal 2 55" xfId="1137"/>
    <cellStyle name="Normal 2 55 10" xfId="1138"/>
    <cellStyle name="Normal 2 55 11" xfId="1139"/>
    <cellStyle name="Normal 2 55 12" xfId="1140"/>
    <cellStyle name="Normal 2 55 13" xfId="1141"/>
    <cellStyle name="Normal 2 55 14" xfId="1142"/>
    <cellStyle name="Normal 2 55 15" xfId="1143"/>
    <cellStyle name="Normal 2 55 16" xfId="1144"/>
    <cellStyle name="Normal 2 55 2" xfId="1145"/>
    <cellStyle name="Normal 2 55 3" xfId="1146"/>
    <cellStyle name="Normal 2 55 4" xfId="1147"/>
    <cellStyle name="Normal 2 55 5" xfId="1148"/>
    <cellStyle name="Normal 2 55 6" xfId="1149"/>
    <cellStyle name="Normal 2 55 7" xfId="1150"/>
    <cellStyle name="Normal 2 55 8" xfId="1151"/>
    <cellStyle name="Normal 2 55 9" xfId="1152"/>
    <cellStyle name="Normal 2 56" xfId="1153"/>
    <cellStyle name="Normal 2 56 2" xfId="1154"/>
    <cellStyle name="Normal 2 56 3" xfId="1155"/>
    <cellStyle name="Normal 2 57" xfId="1156"/>
    <cellStyle name="Normal 2 57 2" xfId="1157"/>
    <cellStyle name="Normal 2 57 3" xfId="1158"/>
    <cellStyle name="Normal 2 58" xfId="1159"/>
    <cellStyle name="Normal 2 58 2" xfId="1160"/>
    <cellStyle name="Normal 2 58 3" xfId="1161"/>
    <cellStyle name="Normal 2 59" xfId="1162"/>
    <cellStyle name="Normal 2 59 2" xfId="1163"/>
    <cellStyle name="Normal 2 59 3" xfId="1164"/>
    <cellStyle name="Normal 2 6" xfId="314"/>
    <cellStyle name="Normal 2 6 2" xfId="1165"/>
    <cellStyle name="Normal 2 6 3" xfId="1166"/>
    <cellStyle name="Normal 2 60" xfId="1167"/>
    <cellStyle name="Normal 2 60 2" xfId="1168"/>
    <cellStyle name="Normal 2 60 3" xfId="1169"/>
    <cellStyle name="Normal 2 61" xfId="1170"/>
    <cellStyle name="Normal 2 61 10" xfId="1171"/>
    <cellStyle name="Normal 2 61 11" xfId="1172"/>
    <cellStyle name="Normal 2 61 12" xfId="1173"/>
    <cellStyle name="Normal 2 61 13" xfId="1174"/>
    <cellStyle name="Normal 2 61 14" xfId="1175"/>
    <cellStyle name="Normal 2 61 15" xfId="1176"/>
    <cellStyle name="Normal 2 61 16" xfId="1177"/>
    <cellStyle name="Normal 2 61 2" xfId="1178"/>
    <cellStyle name="Normal 2 61 3" xfId="1179"/>
    <cellStyle name="Normal 2 61 4" xfId="1180"/>
    <cellStyle name="Normal 2 61 5" xfId="1181"/>
    <cellStyle name="Normal 2 61 6" xfId="1182"/>
    <cellStyle name="Normal 2 61 7" xfId="1183"/>
    <cellStyle name="Normal 2 61 8" xfId="1184"/>
    <cellStyle name="Normal 2 61 9" xfId="1185"/>
    <cellStyle name="Normal 2 62" xfId="1186"/>
    <cellStyle name="Normal 2 62 10" xfId="1187"/>
    <cellStyle name="Normal 2 62 11" xfId="1188"/>
    <cellStyle name="Normal 2 62 12" xfId="1189"/>
    <cellStyle name="Normal 2 62 13" xfId="1190"/>
    <cellStyle name="Normal 2 62 14" xfId="1191"/>
    <cellStyle name="Normal 2 62 15" xfId="1192"/>
    <cellStyle name="Normal 2 62 16" xfId="1193"/>
    <cellStyle name="Normal 2 62 2" xfId="1194"/>
    <cellStyle name="Normal 2 62 3" xfId="1195"/>
    <cellStyle name="Normal 2 62 4" xfId="1196"/>
    <cellStyle name="Normal 2 62 5" xfId="1197"/>
    <cellStyle name="Normal 2 62 6" xfId="1198"/>
    <cellStyle name="Normal 2 62 7" xfId="1199"/>
    <cellStyle name="Normal 2 62 8" xfId="1200"/>
    <cellStyle name="Normal 2 62 9" xfId="1201"/>
    <cellStyle name="Normal 2 63" xfId="1202"/>
    <cellStyle name="Normal 2 63 2" xfId="1203"/>
    <cellStyle name="Normal 2 63 3" xfId="1204"/>
    <cellStyle name="Normal 2 64" xfId="1205"/>
    <cellStyle name="Normal 2 64 2" xfId="1206"/>
    <cellStyle name="Normal 2 64 3" xfId="1207"/>
    <cellStyle name="Normal 2 65" xfId="1208"/>
    <cellStyle name="Normal 2 65 2" xfId="1209"/>
    <cellStyle name="Normal 2 65 3" xfId="1210"/>
    <cellStyle name="Normal 2 66" xfId="1211"/>
    <cellStyle name="Normal 2 67" xfId="1212"/>
    <cellStyle name="Normal 2 68" xfId="1213"/>
    <cellStyle name="Normal 2 69" xfId="1214"/>
    <cellStyle name="Normal 2 7" xfId="315"/>
    <cellStyle name="Normal 2 7 2" xfId="1215"/>
    <cellStyle name="Normal 2 7 3" xfId="1216"/>
    <cellStyle name="Normal 2 70" xfId="1217"/>
    <cellStyle name="Normal 2 71" xfId="1218"/>
    <cellStyle name="Normal 2 72" xfId="2368"/>
    <cellStyle name="Normal 2 8" xfId="1219"/>
    <cellStyle name="Normal 2 8 2" xfId="1220"/>
    <cellStyle name="Normal 2 8 3" xfId="1221"/>
    <cellStyle name="Normal 2 9" xfId="1222"/>
    <cellStyle name="Normal 2 9 2" xfId="1223"/>
    <cellStyle name="Normal 2 9 3" xfId="1224"/>
    <cellStyle name="Normal 2_Table 1" xfId="2366"/>
    <cellStyle name="Normal 20" xfId="316"/>
    <cellStyle name="Normal 20 10" xfId="1225"/>
    <cellStyle name="Normal 20 10 2" xfId="1226"/>
    <cellStyle name="Normal 20 10 3" xfId="1227"/>
    <cellStyle name="Normal 20 11" xfId="1228"/>
    <cellStyle name="Normal 20 11 2" xfId="1229"/>
    <cellStyle name="Normal 20 11 3" xfId="1230"/>
    <cellStyle name="Normal 20 12" xfId="1231"/>
    <cellStyle name="Normal 20 12 2" xfId="1232"/>
    <cellStyle name="Normal 20 12 3" xfId="1233"/>
    <cellStyle name="Normal 20 13" xfId="1234"/>
    <cellStyle name="Normal 20 13 2" xfId="1235"/>
    <cellStyle name="Normal 20 13 3" xfId="1236"/>
    <cellStyle name="Normal 20 14" xfId="1237"/>
    <cellStyle name="Normal 20 14 2" xfId="1238"/>
    <cellStyle name="Normal 20 14 3" xfId="1239"/>
    <cellStyle name="Normal 20 15" xfId="1240"/>
    <cellStyle name="Normal 20 15 2" xfId="1241"/>
    <cellStyle name="Normal 20 15 3" xfId="1242"/>
    <cellStyle name="Normal 20 16" xfId="1243"/>
    <cellStyle name="Normal 20 16 2" xfId="1244"/>
    <cellStyle name="Normal 20 16 3" xfId="1245"/>
    <cellStyle name="Normal 20 17" xfId="1246"/>
    <cellStyle name="Normal 20 18" xfId="1247"/>
    <cellStyle name="Normal 20 19" xfId="1248"/>
    <cellStyle name="Normal 20 2" xfId="1249"/>
    <cellStyle name="Normal 20 2 2" xfId="1250"/>
    <cellStyle name="Normal 20 2 3" xfId="1251"/>
    <cellStyle name="Normal 20 3" xfId="1252"/>
    <cellStyle name="Normal 20 3 2" xfId="1253"/>
    <cellStyle name="Normal 20 3 3" xfId="1254"/>
    <cellStyle name="Normal 20 4" xfId="1255"/>
    <cellStyle name="Normal 20 4 2" xfId="1256"/>
    <cellStyle name="Normal 20 4 3" xfId="1257"/>
    <cellStyle name="Normal 20 5" xfId="1258"/>
    <cellStyle name="Normal 20 5 2" xfId="1259"/>
    <cellStyle name="Normal 20 5 3" xfId="1260"/>
    <cellStyle name="Normal 20 6" xfId="1261"/>
    <cellStyle name="Normal 20 6 2" xfId="1262"/>
    <cellStyle name="Normal 20 6 3" xfId="1263"/>
    <cellStyle name="Normal 20 7" xfId="1264"/>
    <cellStyle name="Normal 20 7 2" xfId="1265"/>
    <cellStyle name="Normal 20 7 3" xfId="1266"/>
    <cellStyle name="Normal 20 8" xfId="1267"/>
    <cellStyle name="Normal 20 8 2" xfId="1268"/>
    <cellStyle name="Normal 20 8 3" xfId="1269"/>
    <cellStyle name="Normal 20 9" xfId="1270"/>
    <cellStyle name="Normal 20 9 2" xfId="1271"/>
    <cellStyle name="Normal 20 9 3" xfId="1272"/>
    <cellStyle name="Normal 21" xfId="1273"/>
    <cellStyle name="Normal 21 10" xfId="1274"/>
    <cellStyle name="Normal 21 10 2" xfId="1275"/>
    <cellStyle name="Normal 21 10 3" xfId="1276"/>
    <cellStyle name="Normal 21 11" xfId="1277"/>
    <cellStyle name="Normal 21 11 2" xfId="1278"/>
    <cellStyle name="Normal 21 11 3" xfId="1279"/>
    <cellStyle name="Normal 21 12" xfId="1280"/>
    <cellStyle name="Normal 21 12 2" xfId="1281"/>
    <cellStyle name="Normal 21 12 3" xfId="1282"/>
    <cellStyle name="Normal 21 13" xfId="1283"/>
    <cellStyle name="Normal 21 13 2" xfId="1284"/>
    <cellStyle name="Normal 21 13 3" xfId="1285"/>
    <cellStyle name="Normal 21 14" xfId="1286"/>
    <cellStyle name="Normal 21 14 2" xfId="1287"/>
    <cellStyle name="Normal 21 14 3" xfId="1288"/>
    <cellStyle name="Normal 21 15" xfId="1289"/>
    <cellStyle name="Normal 21 15 2" xfId="1290"/>
    <cellStyle name="Normal 21 15 3" xfId="1291"/>
    <cellStyle name="Normal 21 16" xfId="1292"/>
    <cellStyle name="Normal 21 16 2" xfId="1293"/>
    <cellStyle name="Normal 21 16 3" xfId="1294"/>
    <cellStyle name="Normal 21 2" xfId="1295"/>
    <cellStyle name="Normal 21 2 2" xfId="1296"/>
    <cellStyle name="Normal 21 2 3" xfId="1297"/>
    <cellStyle name="Normal 21 3" xfId="1298"/>
    <cellStyle name="Normal 21 3 2" xfId="1299"/>
    <cellStyle name="Normal 21 3 3" xfId="1300"/>
    <cellStyle name="Normal 21 4" xfId="1301"/>
    <cellStyle name="Normal 21 4 2" xfId="1302"/>
    <cellStyle name="Normal 21 4 3" xfId="1303"/>
    <cellStyle name="Normal 21 5" xfId="1304"/>
    <cellStyle name="Normal 21 5 2" xfId="1305"/>
    <cellStyle name="Normal 21 5 3" xfId="1306"/>
    <cellStyle name="Normal 21 6" xfId="1307"/>
    <cellStyle name="Normal 21 6 2" xfId="1308"/>
    <cellStyle name="Normal 21 6 3" xfId="1309"/>
    <cellStyle name="Normal 21 7" xfId="1310"/>
    <cellStyle name="Normal 21 7 2" xfId="1311"/>
    <cellStyle name="Normal 21 7 3" xfId="1312"/>
    <cellStyle name="Normal 21 8" xfId="1313"/>
    <cellStyle name="Normal 21 8 2" xfId="1314"/>
    <cellStyle name="Normal 21 8 3" xfId="1315"/>
    <cellStyle name="Normal 21 9" xfId="1316"/>
    <cellStyle name="Normal 21 9 2" xfId="1317"/>
    <cellStyle name="Normal 21 9 3" xfId="1318"/>
    <cellStyle name="Normal 22" xfId="1319"/>
    <cellStyle name="Normal 22 10" xfId="1320"/>
    <cellStyle name="Normal 22 10 2" xfId="1321"/>
    <cellStyle name="Normal 22 10 3" xfId="1322"/>
    <cellStyle name="Normal 22 11" xfId="1323"/>
    <cellStyle name="Normal 22 11 2" xfId="1324"/>
    <cellStyle name="Normal 22 11 3" xfId="1325"/>
    <cellStyle name="Normal 22 12" xfId="1326"/>
    <cellStyle name="Normal 22 12 2" xfId="1327"/>
    <cellStyle name="Normal 22 12 3" xfId="1328"/>
    <cellStyle name="Normal 22 13" xfId="1329"/>
    <cellStyle name="Normal 22 13 2" xfId="1330"/>
    <cellStyle name="Normal 22 13 3" xfId="1331"/>
    <cellStyle name="Normal 22 14" xfId="1332"/>
    <cellStyle name="Normal 22 14 2" xfId="1333"/>
    <cellStyle name="Normal 22 14 3" xfId="1334"/>
    <cellStyle name="Normal 22 15" xfId="1335"/>
    <cellStyle name="Normal 22 15 2" xfId="1336"/>
    <cellStyle name="Normal 22 15 3" xfId="1337"/>
    <cellStyle name="Normal 22 16" xfId="1338"/>
    <cellStyle name="Normal 22 16 2" xfId="1339"/>
    <cellStyle name="Normal 22 16 3" xfId="1340"/>
    <cellStyle name="Normal 22 17" xfId="1341"/>
    <cellStyle name="Normal 22 18" xfId="1342"/>
    <cellStyle name="Normal 22 19" xfId="1343"/>
    <cellStyle name="Normal 22 2" xfId="1344"/>
    <cellStyle name="Normal 22 2 2" xfId="1345"/>
    <cellStyle name="Normal 22 2 3" xfId="1346"/>
    <cellStyle name="Normal 22 3" xfId="1347"/>
    <cellStyle name="Normal 22 3 2" xfId="1348"/>
    <cellStyle name="Normal 22 3 3" xfId="1349"/>
    <cellStyle name="Normal 22 4" xfId="1350"/>
    <cellStyle name="Normal 22 4 2" xfId="1351"/>
    <cellStyle name="Normal 22 4 3" xfId="1352"/>
    <cellStyle name="Normal 22 5" xfId="1353"/>
    <cellStyle name="Normal 22 5 2" xfId="1354"/>
    <cellStyle name="Normal 22 5 3" xfId="1355"/>
    <cellStyle name="Normal 22 6" xfId="1356"/>
    <cellStyle name="Normal 22 6 2" xfId="1357"/>
    <cellStyle name="Normal 22 6 3" xfId="1358"/>
    <cellStyle name="Normal 22 7" xfId="1359"/>
    <cellStyle name="Normal 22 7 2" xfId="1360"/>
    <cellStyle name="Normal 22 7 3" xfId="1361"/>
    <cellStyle name="Normal 22 8" xfId="1362"/>
    <cellStyle name="Normal 22 8 2" xfId="1363"/>
    <cellStyle name="Normal 22 8 3" xfId="1364"/>
    <cellStyle name="Normal 22 9" xfId="1365"/>
    <cellStyle name="Normal 22 9 2" xfId="1366"/>
    <cellStyle name="Normal 22 9 3" xfId="1367"/>
    <cellStyle name="Normal 23" xfId="1368"/>
    <cellStyle name="Normal 23 10" xfId="1369"/>
    <cellStyle name="Normal 23 10 2" xfId="1370"/>
    <cellStyle name="Normal 23 10 3" xfId="1371"/>
    <cellStyle name="Normal 23 11" xfId="1372"/>
    <cellStyle name="Normal 23 11 2" xfId="1373"/>
    <cellStyle name="Normal 23 11 3" xfId="1374"/>
    <cellStyle name="Normal 23 12" xfId="1375"/>
    <cellStyle name="Normal 23 12 2" xfId="1376"/>
    <cellStyle name="Normal 23 12 3" xfId="1377"/>
    <cellStyle name="Normal 23 13" xfId="1378"/>
    <cellStyle name="Normal 23 13 2" xfId="1379"/>
    <cellStyle name="Normal 23 13 3" xfId="1380"/>
    <cellStyle name="Normal 23 14" xfId="1381"/>
    <cellStyle name="Normal 23 14 2" xfId="1382"/>
    <cellStyle name="Normal 23 14 3" xfId="1383"/>
    <cellStyle name="Normal 23 15" xfId="1384"/>
    <cellStyle name="Normal 23 15 2" xfId="1385"/>
    <cellStyle name="Normal 23 15 3" xfId="1386"/>
    <cellStyle name="Normal 23 16" xfId="1387"/>
    <cellStyle name="Normal 23 16 2" xfId="1388"/>
    <cellStyle name="Normal 23 16 3" xfId="1389"/>
    <cellStyle name="Normal 23 17" xfId="1390"/>
    <cellStyle name="Normal 23 18" xfId="1391"/>
    <cellStyle name="Normal 23 19" xfId="1392"/>
    <cellStyle name="Normal 23 2" xfId="1393"/>
    <cellStyle name="Normal 23 2 2" xfId="1394"/>
    <cellStyle name="Normal 23 2 3" xfId="1395"/>
    <cellStyle name="Normal 23 3" xfId="1396"/>
    <cellStyle name="Normal 23 3 2" xfId="1397"/>
    <cellStyle name="Normal 23 3 3" xfId="1398"/>
    <cellStyle name="Normal 23 4" xfId="1399"/>
    <cellStyle name="Normal 23 4 2" xfId="1400"/>
    <cellStyle name="Normal 23 4 3" xfId="1401"/>
    <cellStyle name="Normal 23 5" xfId="1402"/>
    <cellStyle name="Normal 23 5 2" xfId="1403"/>
    <cellStyle name="Normal 23 5 3" xfId="1404"/>
    <cellStyle name="Normal 23 6" xfId="1405"/>
    <cellStyle name="Normal 23 6 2" xfId="1406"/>
    <cellStyle name="Normal 23 6 3" xfId="1407"/>
    <cellStyle name="Normal 23 7" xfId="1408"/>
    <cellStyle name="Normal 23 7 2" xfId="1409"/>
    <cellStyle name="Normal 23 7 3" xfId="1410"/>
    <cellStyle name="Normal 23 8" xfId="1411"/>
    <cellStyle name="Normal 23 8 2" xfId="1412"/>
    <cellStyle name="Normal 23 8 3" xfId="1413"/>
    <cellStyle name="Normal 23 9" xfId="1414"/>
    <cellStyle name="Normal 23 9 2" xfId="1415"/>
    <cellStyle name="Normal 23 9 3" xfId="1416"/>
    <cellStyle name="Normal 24" xfId="1417"/>
    <cellStyle name="Normal 24 10" xfId="1418"/>
    <cellStyle name="Normal 24 10 2" xfId="1419"/>
    <cellStyle name="Normal 24 10 3" xfId="1420"/>
    <cellStyle name="Normal 24 11" xfId="1421"/>
    <cellStyle name="Normal 24 11 2" xfId="1422"/>
    <cellStyle name="Normal 24 11 3" xfId="1423"/>
    <cellStyle name="Normal 24 12" xfId="1424"/>
    <cellStyle name="Normal 24 12 2" xfId="1425"/>
    <cellStyle name="Normal 24 12 3" xfId="1426"/>
    <cellStyle name="Normal 24 13" xfId="1427"/>
    <cellStyle name="Normal 24 13 2" xfId="1428"/>
    <cellStyle name="Normal 24 13 3" xfId="1429"/>
    <cellStyle name="Normal 24 14" xfId="1430"/>
    <cellStyle name="Normal 24 14 2" xfId="1431"/>
    <cellStyle name="Normal 24 14 3" xfId="1432"/>
    <cellStyle name="Normal 24 15" xfId="1433"/>
    <cellStyle name="Normal 24 15 2" xfId="1434"/>
    <cellStyle name="Normal 24 15 3" xfId="1435"/>
    <cellStyle name="Normal 24 16" xfId="1436"/>
    <cellStyle name="Normal 24 16 2" xfId="1437"/>
    <cellStyle name="Normal 24 16 3" xfId="1438"/>
    <cellStyle name="Normal 24 2" xfId="1439"/>
    <cellStyle name="Normal 24 2 2" xfId="1440"/>
    <cellStyle name="Normal 24 2 3" xfId="1441"/>
    <cellStyle name="Normal 24 3" xfId="1442"/>
    <cellStyle name="Normal 24 3 2" xfId="1443"/>
    <cellStyle name="Normal 24 3 3" xfId="1444"/>
    <cellStyle name="Normal 24 4" xfId="1445"/>
    <cellStyle name="Normal 24 4 2" xfId="1446"/>
    <cellStyle name="Normal 24 4 3" xfId="1447"/>
    <cellStyle name="Normal 24 5" xfId="1448"/>
    <cellStyle name="Normal 24 5 2" xfId="1449"/>
    <cellStyle name="Normal 24 5 3" xfId="1450"/>
    <cellStyle name="Normal 24 6" xfId="1451"/>
    <cellStyle name="Normal 24 6 2" xfId="1452"/>
    <cellStyle name="Normal 24 6 3" xfId="1453"/>
    <cellStyle name="Normal 24 7" xfId="1454"/>
    <cellStyle name="Normal 24 7 2" xfId="1455"/>
    <cellStyle name="Normal 24 7 3" xfId="1456"/>
    <cellStyle name="Normal 24 8" xfId="1457"/>
    <cellStyle name="Normal 24 8 2" xfId="1458"/>
    <cellStyle name="Normal 24 8 3" xfId="1459"/>
    <cellStyle name="Normal 24 9" xfId="1460"/>
    <cellStyle name="Normal 24 9 2" xfId="1461"/>
    <cellStyle name="Normal 24 9 3" xfId="1462"/>
    <cellStyle name="Normal 25" xfId="1463"/>
    <cellStyle name="Normal 26" xfId="1464"/>
    <cellStyle name="Normal 26 10" xfId="1465"/>
    <cellStyle name="Normal 26 10 2" xfId="1466"/>
    <cellStyle name="Normal 26 10 3" xfId="1467"/>
    <cellStyle name="Normal 26 11" xfId="1468"/>
    <cellStyle name="Normal 26 11 2" xfId="1469"/>
    <cellStyle name="Normal 26 11 3" xfId="1470"/>
    <cellStyle name="Normal 26 12" xfId="1471"/>
    <cellStyle name="Normal 26 12 2" xfId="1472"/>
    <cellStyle name="Normal 26 12 3" xfId="1473"/>
    <cellStyle name="Normal 26 13" xfId="1474"/>
    <cellStyle name="Normal 26 13 2" xfId="1475"/>
    <cellStyle name="Normal 26 13 3" xfId="1476"/>
    <cellStyle name="Normal 26 14" xfId="1477"/>
    <cellStyle name="Normal 26 14 2" xfId="1478"/>
    <cellStyle name="Normal 26 14 3" xfId="1479"/>
    <cellStyle name="Normal 26 15" xfId="1480"/>
    <cellStyle name="Normal 26 15 2" xfId="1481"/>
    <cellStyle name="Normal 26 15 3" xfId="1482"/>
    <cellStyle name="Normal 26 16" xfId="1483"/>
    <cellStyle name="Normal 26 16 2" xfId="1484"/>
    <cellStyle name="Normal 26 16 3" xfId="1485"/>
    <cellStyle name="Normal 26 17" xfId="1486"/>
    <cellStyle name="Normal 26 18" xfId="1487"/>
    <cellStyle name="Normal 26 2" xfId="1488"/>
    <cellStyle name="Normal 26 2 2" xfId="1489"/>
    <cellStyle name="Normal 26 2 3" xfId="1490"/>
    <cellStyle name="Normal 26 3" xfId="1491"/>
    <cellStyle name="Normal 26 3 2" xfId="1492"/>
    <cellStyle name="Normal 26 3 3" xfId="1493"/>
    <cellStyle name="Normal 26 4" xfId="1494"/>
    <cellStyle name="Normal 26 4 2" xfId="1495"/>
    <cellStyle name="Normal 26 4 3" xfId="1496"/>
    <cellStyle name="Normal 26 5" xfId="1497"/>
    <cellStyle name="Normal 26 5 2" xfId="1498"/>
    <cellStyle name="Normal 26 5 3" xfId="1499"/>
    <cellStyle name="Normal 26 6" xfId="1500"/>
    <cellStyle name="Normal 26 6 2" xfId="1501"/>
    <cellStyle name="Normal 26 6 3" xfId="1502"/>
    <cellStyle name="Normal 26 7" xfId="1503"/>
    <cellStyle name="Normal 26 7 2" xfId="1504"/>
    <cellStyle name="Normal 26 7 3" xfId="1505"/>
    <cellStyle name="Normal 26 8" xfId="1506"/>
    <cellStyle name="Normal 26 8 2" xfId="1507"/>
    <cellStyle name="Normal 26 8 3" xfId="1508"/>
    <cellStyle name="Normal 26 9" xfId="1509"/>
    <cellStyle name="Normal 26 9 2" xfId="1510"/>
    <cellStyle name="Normal 26 9 3" xfId="1511"/>
    <cellStyle name="Normal 27" xfId="1512"/>
    <cellStyle name="Normal 27 10" xfId="1513"/>
    <cellStyle name="Normal 27 10 2" xfId="1514"/>
    <cellStyle name="Normal 27 10 3" xfId="1515"/>
    <cellStyle name="Normal 27 11" xfId="1516"/>
    <cellStyle name="Normal 27 11 2" xfId="1517"/>
    <cellStyle name="Normal 27 11 3" xfId="1518"/>
    <cellStyle name="Normal 27 12" xfId="1519"/>
    <cellStyle name="Normal 27 12 2" xfId="1520"/>
    <cellStyle name="Normal 27 12 3" xfId="1521"/>
    <cellStyle name="Normal 27 13" xfId="1522"/>
    <cellStyle name="Normal 27 13 2" xfId="1523"/>
    <cellStyle name="Normal 27 13 3" xfId="1524"/>
    <cellStyle name="Normal 27 14" xfId="1525"/>
    <cellStyle name="Normal 27 14 2" xfId="1526"/>
    <cellStyle name="Normal 27 14 3" xfId="1527"/>
    <cellStyle name="Normal 27 15" xfId="1528"/>
    <cellStyle name="Normal 27 15 2" xfId="1529"/>
    <cellStyle name="Normal 27 15 3" xfId="1530"/>
    <cellStyle name="Normal 27 16" xfId="1531"/>
    <cellStyle name="Normal 27 16 2" xfId="1532"/>
    <cellStyle name="Normal 27 16 3" xfId="1533"/>
    <cellStyle name="Normal 27 17" xfId="1534"/>
    <cellStyle name="Normal 27 18" xfId="1535"/>
    <cellStyle name="Normal 27 2" xfId="1536"/>
    <cellStyle name="Normal 27 2 2" xfId="1537"/>
    <cellStyle name="Normal 27 2 3" xfId="1538"/>
    <cellStyle name="Normal 27 3" xfId="1539"/>
    <cellStyle name="Normal 27 3 2" xfId="1540"/>
    <cellStyle name="Normal 27 3 3" xfId="1541"/>
    <cellStyle name="Normal 27 4" xfId="1542"/>
    <cellStyle name="Normal 27 4 2" xfId="1543"/>
    <cellStyle name="Normal 27 4 3" xfId="1544"/>
    <cellStyle name="Normal 27 5" xfId="1545"/>
    <cellStyle name="Normal 27 5 2" xfId="1546"/>
    <cellStyle name="Normal 27 5 3" xfId="1547"/>
    <cellStyle name="Normal 27 6" xfId="1548"/>
    <cellStyle name="Normal 27 6 2" xfId="1549"/>
    <cellStyle name="Normal 27 6 3" xfId="1550"/>
    <cellStyle name="Normal 27 7" xfId="1551"/>
    <cellStyle name="Normal 27 7 2" xfId="1552"/>
    <cellStyle name="Normal 27 7 3" xfId="1553"/>
    <cellStyle name="Normal 27 8" xfId="1554"/>
    <cellStyle name="Normal 27 8 2" xfId="1555"/>
    <cellStyle name="Normal 27 8 3" xfId="1556"/>
    <cellStyle name="Normal 27 9" xfId="1557"/>
    <cellStyle name="Normal 27 9 2" xfId="1558"/>
    <cellStyle name="Normal 27 9 3" xfId="1559"/>
    <cellStyle name="Normal 28" xfId="2363"/>
    <cellStyle name="Normal 28 10" xfId="1560"/>
    <cellStyle name="Normal 28 10 2" xfId="1561"/>
    <cellStyle name="Normal 28 10 3" xfId="1562"/>
    <cellStyle name="Normal 28 11" xfId="1563"/>
    <cellStyle name="Normal 28 11 2" xfId="1564"/>
    <cellStyle name="Normal 28 11 3" xfId="1565"/>
    <cellStyle name="Normal 28 12" xfId="1566"/>
    <cellStyle name="Normal 28 12 2" xfId="1567"/>
    <cellStyle name="Normal 28 12 3" xfId="1568"/>
    <cellStyle name="Normal 28 13" xfId="1569"/>
    <cellStyle name="Normal 28 13 2" xfId="1570"/>
    <cellStyle name="Normal 28 13 3" xfId="1571"/>
    <cellStyle name="Normal 28 14" xfId="1572"/>
    <cellStyle name="Normal 28 14 2" xfId="1573"/>
    <cellStyle name="Normal 28 14 3" xfId="1574"/>
    <cellStyle name="Normal 28 15" xfId="1575"/>
    <cellStyle name="Normal 28 15 2" xfId="1576"/>
    <cellStyle name="Normal 28 15 3" xfId="1577"/>
    <cellStyle name="Normal 28 16" xfId="1578"/>
    <cellStyle name="Normal 28 16 2" xfId="1579"/>
    <cellStyle name="Normal 28 16 3" xfId="1580"/>
    <cellStyle name="Normal 28 2" xfId="1581"/>
    <cellStyle name="Normal 28 2 2" xfId="1582"/>
    <cellStyle name="Normal 28 2 3" xfId="1583"/>
    <cellStyle name="Normal 28 3" xfId="1584"/>
    <cellStyle name="Normal 28 3 2" xfId="1585"/>
    <cellStyle name="Normal 28 3 3" xfId="1586"/>
    <cellStyle name="Normal 28 4" xfId="1587"/>
    <cellStyle name="Normal 28 4 2" xfId="1588"/>
    <cellStyle name="Normal 28 4 3" xfId="1589"/>
    <cellStyle name="Normal 28 5" xfId="1590"/>
    <cellStyle name="Normal 28 5 2" xfId="1591"/>
    <cellStyle name="Normal 28 5 3" xfId="1592"/>
    <cellStyle name="Normal 28 6" xfId="1593"/>
    <cellStyle name="Normal 28 6 2" xfId="1594"/>
    <cellStyle name="Normal 28 6 3" xfId="1595"/>
    <cellStyle name="Normal 28 7" xfId="1596"/>
    <cellStyle name="Normal 28 7 2" xfId="1597"/>
    <cellStyle name="Normal 28 7 3" xfId="1598"/>
    <cellStyle name="Normal 28 8" xfId="1599"/>
    <cellStyle name="Normal 28 8 2" xfId="1600"/>
    <cellStyle name="Normal 28 8 3" xfId="1601"/>
    <cellStyle name="Normal 28 9" xfId="1602"/>
    <cellStyle name="Normal 28 9 2" xfId="1603"/>
    <cellStyle name="Normal 28 9 3"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2" xfId="1613"/>
    <cellStyle name="Normal 29 3" xfId="1614"/>
    <cellStyle name="Normal 29 4" xfId="1615"/>
    <cellStyle name="Normal 29 5" xfId="1616"/>
    <cellStyle name="Normal 29 6" xfId="1617"/>
    <cellStyle name="Normal 29 7" xfId="1618"/>
    <cellStyle name="Normal 29 8" xfId="1619"/>
    <cellStyle name="Normal 29 9" xfId="1620"/>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1"/>
    <cellStyle name="Normal 3 2 11" xfId="1622"/>
    <cellStyle name="Normal 3 2 12" xfId="1623"/>
    <cellStyle name="Normal 3 2 13" xfId="1624"/>
    <cellStyle name="Normal 3 2 14" xfId="1625"/>
    <cellStyle name="Normal 3 2 15" xfId="1626"/>
    <cellStyle name="Normal 3 2 16" xfId="1627"/>
    <cellStyle name="Normal 3 2 17" xfId="1628"/>
    <cellStyle name="Normal 3 2 18" xfId="1629"/>
    <cellStyle name="Normal 3 2 19" xfId="1630"/>
    <cellStyle name="Normal 3 2 2" xfId="333"/>
    <cellStyle name="Normal 3 2 20" xfId="1631"/>
    <cellStyle name="Normal 3 2 21" xfId="1632"/>
    <cellStyle name="Normal 3 2 22" xfId="1633"/>
    <cellStyle name="Normal 3 2 3" xfId="1634"/>
    <cellStyle name="Normal 3 2 4" xfId="1635"/>
    <cellStyle name="Normal 3 2 5" xfId="1636"/>
    <cellStyle name="Normal 3 2 6" xfId="1637"/>
    <cellStyle name="Normal 3 2 7" xfId="1638"/>
    <cellStyle name="Normal 3 2 8" xfId="1639"/>
    <cellStyle name="Normal 3 2 9" xfId="1640"/>
    <cellStyle name="Normal 3 20" xfId="1641"/>
    <cellStyle name="Normal 3 21" xfId="1642"/>
    <cellStyle name="Normal 3 22" xfId="1643"/>
    <cellStyle name="Normal 3 23" xfId="1644"/>
    <cellStyle name="Normal 3 3" xfId="19"/>
    <cellStyle name="Normal 3 4" xfId="334"/>
    <cellStyle name="Normal 3 5" xfId="335"/>
    <cellStyle name="Normal 3 6" xfId="336"/>
    <cellStyle name="Normal 3 7" xfId="337"/>
    <cellStyle name="Normal 3 8" xfId="338"/>
    <cellStyle name="Normal 3 9" xfId="339"/>
    <cellStyle name="Normal 30" xfId="2364"/>
    <cellStyle name="Normal 30 10" xfId="1645"/>
    <cellStyle name="Normal 30 11" xfId="1646"/>
    <cellStyle name="Normal 30 12" xfId="1647"/>
    <cellStyle name="Normal 30 13" xfId="1648"/>
    <cellStyle name="Normal 30 14" xfId="1649"/>
    <cellStyle name="Normal 30 15" xfId="1650"/>
    <cellStyle name="Normal 30 16" xfId="1651"/>
    <cellStyle name="Normal 30 2" xfId="1652"/>
    <cellStyle name="Normal 30 3" xfId="1653"/>
    <cellStyle name="Normal 30 4" xfId="1654"/>
    <cellStyle name="Normal 30 5" xfId="1655"/>
    <cellStyle name="Normal 30 6" xfId="1656"/>
    <cellStyle name="Normal 30 7" xfId="1657"/>
    <cellStyle name="Normal 30 8" xfId="1658"/>
    <cellStyle name="Normal 30 9" xfId="1659"/>
    <cellStyle name="Normal 31" xfId="2384"/>
    <cellStyle name="Normal 31 10" xfId="1660"/>
    <cellStyle name="Normal 31 11" xfId="1661"/>
    <cellStyle name="Normal 31 12" xfId="1662"/>
    <cellStyle name="Normal 31 13" xfId="1663"/>
    <cellStyle name="Normal 31 14" xfId="1664"/>
    <cellStyle name="Normal 31 15" xfId="1665"/>
    <cellStyle name="Normal 31 16" xfId="1666"/>
    <cellStyle name="Normal 31 2" xfId="1667"/>
    <cellStyle name="Normal 31 3" xfId="1668"/>
    <cellStyle name="Normal 31 4" xfId="1669"/>
    <cellStyle name="Normal 31 5" xfId="1670"/>
    <cellStyle name="Normal 31 6" xfId="1671"/>
    <cellStyle name="Normal 31 7" xfId="1672"/>
    <cellStyle name="Normal 31 8" xfId="1673"/>
    <cellStyle name="Normal 31 9" xfId="1674"/>
    <cellStyle name="Normal 32 10" xfId="1675"/>
    <cellStyle name="Normal 32 11" xfId="1676"/>
    <cellStyle name="Normal 32 12" xfId="1677"/>
    <cellStyle name="Normal 32 13" xfId="1678"/>
    <cellStyle name="Normal 32 14" xfId="1679"/>
    <cellStyle name="Normal 32 15" xfId="1680"/>
    <cellStyle name="Normal 32 16" xfId="1681"/>
    <cellStyle name="Normal 32 2" xfId="1682"/>
    <cellStyle name="Normal 32 3" xfId="1683"/>
    <cellStyle name="Normal 32 4" xfId="1684"/>
    <cellStyle name="Normal 32 5" xfId="1685"/>
    <cellStyle name="Normal 32 6" xfId="1686"/>
    <cellStyle name="Normal 32 7" xfId="1687"/>
    <cellStyle name="Normal 32 8" xfId="1688"/>
    <cellStyle name="Normal 32 9" xfId="1689"/>
    <cellStyle name="Normal 33 10" xfId="1690"/>
    <cellStyle name="Normal 33 11" xfId="1691"/>
    <cellStyle name="Normal 33 12" xfId="1692"/>
    <cellStyle name="Normal 33 13" xfId="1693"/>
    <cellStyle name="Normal 33 14" xfId="1694"/>
    <cellStyle name="Normal 33 15" xfId="1695"/>
    <cellStyle name="Normal 33 16" xfId="1696"/>
    <cellStyle name="Normal 33 2" xfId="1697"/>
    <cellStyle name="Normal 33 3" xfId="1698"/>
    <cellStyle name="Normal 33 4" xfId="1699"/>
    <cellStyle name="Normal 33 5" xfId="1700"/>
    <cellStyle name="Normal 33 6" xfId="1701"/>
    <cellStyle name="Normal 33 7" xfId="1702"/>
    <cellStyle name="Normal 33 8" xfId="1703"/>
    <cellStyle name="Normal 33 9" xfId="1704"/>
    <cellStyle name="Normal 34 10" xfId="1705"/>
    <cellStyle name="Normal 34 10 2" xfId="1706"/>
    <cellStyle name="Normal 34 10 3" xfId="1707"/>
    <cellStyle name="Normal 34 11" xfId="1708"/>
    <cellStyle name="Normal 34 11 2" xfId="1709"/>
    <cellStyle name="Normal 34 11 3" xfId="1710"/>
    <cellStyle name="Normal 34 12" xfId="1711"/>
    <cellStyle name="Normal 34 12 2" xfId="1712"/>
    <cellStyle name="Normal 34 12 3" xfId="1713"/>
    <cellStyle name="Normal 34 13" xfId="1714"/>
    <cellStyle name="Normal 34 13 2" xfId="1715"/>
    <cellStyle name="Normal 34 13 3" xfId="1716"/>
    <cellStyle name="Normal 34 14" xfId="1717"/>
    <cellStyle name="Normal 34 14 2" xfId="1718"/>
    <cellStyle name="Normal 34 14 3" xfId="1719"/>
    <cellStyle name="Normal 34 15" xfId="1720"/>
    <cellStyle name="Normal 34 15 2" xfId="1721"/>
    <cellStyle name="Normal 34 15 3" xfId="1722"/>
    <cellStyle name="Normal 34 16" xfId="1723"/>
    <cellStyle name="Normal 34 16 2" xfId="1724"/>
    <cellStyle name="Normal 34 16 3" xfId="1725"/>
    <cellStyle name="Normal 34 2" xfId="1726"/>
    <cellStyle name="Normal 34 2 2" xfId="1727"/>
    <cellStyle name="Normal 34 2 3" xfId="1728"/>
    <cellStyle name="Normal 34 3" xfId="1729"/>
    <cellStyle name="Normal 34 3 2" xfId="1730"/>
    <cellStyle name="Normal 34 3 3" xfId="1731"/>
    <cellStyle name="Normal 34 4" xfId="1732"/>
    <cellStyle name="Normal 34 4 2" xfId="1733"/>
    <cellStyle name="Normal 34 4 3" xfId="1734"/>
    <cellStyle name="Normal 34 5" xfId="1735"/>
    <cellStyle name="Normal 34 5 2" xfId="1736"/>
    <cellStyle name="Normal 34 5 3" xfId="1737"/>
    <cellStyle name="Normal 34 6" xfId="1738"/>
    <cellStyle name="Normal 34 6 2" xfId="1739"/>
    <cellStyle name="Normal 34 6 3" xfId="1740"/>
    <cellStyle name="Normal 34 7" xfId="1741"/>
    <cellStyle name="Normal 34 7 2" xfId="1742"/>
    <cellStyle name="Normal 34 7 3" xfId="1743"/>
    <cellStyle name="Normal 34 8" xfId="1744"/>
    <cellStyle name="Normal 34 8 2" xfId="1745"/>
    <cellStyle name="Normal 34 8 3" xfId="1746"/>
    <cellStyle name="Normal 34 9" xfId="1747"/>
    <cellStyle name="Normal 34 9 2" xfId="1748"/>
    <cellStyle name="Normal 34 9 3" xfId="1749"/>
    <cellStyle name="Normal 35" xfId="1750"/>
    <cellStyle name="Normal 35 10" xfId="1751"/>
    <cellStyle name="Normal 35 10 2" xfId="1752"/>
    <cellStyle name="Normal 35 10 3" xfId="1753"/>
    <cellStyle name="Normal 35 11" xfId="1754"/>
    <cellStyle name="Normal 35 11 2" xfId="1755"/>
    <cellStyle name="Normal 35 11 3" xfId="1756"/>
    <cellStyle name="Normal 35 12" xfId="1757"/>
    <cellStyle name="Normal 35 12 2" xfId="1758"/>
    <cellStyle name="Normal 35 12 3" xfId="1759"/>
    <cellStyle name="Normal 35 13" xfId="1760"/>
    <cellStyle name="Normal 35 13 2" xfId="1761"/>
    <cellStyle name="Normal 35 13 3" xfId="1762"/>
    <cellStyle name="Normal 35 14" xfId="1763"/>
    <cellStyle name="Normal 35 14 2" xfId="1764"/>
    <cellStyle name="Normal 35 14 3" xfId="1765"/>
    <cellStyle name="Normal 35 15" xfId="1766"/>
    <cellStyle name="Normal 35 15 2" xfId="1767"/>
    <cellStyle name="Normal 35 15 3" xfId="1768"/>
    <cellStyle name="Normal 35 16" xfId="1769"/>
    <cellStyle name="Normal 35 16 2" xfId="1770"/>
    <cellStyle name="Normal 35 16 3" xfId="1771"/>
    <cellStyle name="Normal 35 17" xfId="1772"/>
    <cellStyle name="Normal 35 18" xfId="1773"/>
    <cellStyle name="Normal 35 19" xfId="1774"/>
    <cellStyle name="Normal 35 2" xfId="1775"/>
    <cellStyle name="Normal 35 2 2" xfId="1776"/>
    <cellStyle name="Normal 35 2 3" xfId="1777"/>
    <cellStyle name="Normal 35 20" xfId="1778"/>
    <cellStyle name="Normal 35 21" xfId="1779"/>
    <cellStyle name="Normal 35 22" xfId="1780"/>
    <cellStyle name="Normal 35 23" xfId="1781"/>
    <cellStyle name="Normal 35 24" xfId="1782"/>
    <cellStyle name="Normal 35 3" xfId="1783"/>
    <cellStyle name="Normal 35 3 2" xfId="1784"/>
    <cellStyle name="Normal 35 3 3" xfId="1785"/>
    <cellStyle name="Normal 35 4" xfId="1786"/>
    <cellStyle name="Normal 35 4 2" xfId="1787"/>
    <cellStyle name="Normal 35 4 3" xfId="1788"/>
    <cellStyle name="Normal 35 5" xfId="1789"/>
    <cellStyle name="Normal 35 5 2" xfId="1790"/>
    <cellStyle name="Normal 35 5 3" xfId="1791"/>
    <cellStyle name="Normal 35 6" xfId="1792"/>
    <cellStyle name="Normal 35 6 2" xfId="1793"/>
    <cellStyle name="Normal 35 6 3" xfId="1794"/>
    <cellStyle name="Normal 35 7" xfId="1795"/>
    <cellStyle name="Normal 35 7 2" xfId="1796"/>
    <cellStyle name="Normal 35 7 3" xfId="1797"/>
    <cellStyle name="Normal 35 8" xfId="1798"/>
    <cellStyle name="Normal 35 8 2" xfId="1799"/>
    <cellStyle name="Normal 35 8 3" xfId="1800"/>
    <cellStyle name="Normal 35 9" xfId="1801"/>
    <cellStyle name="Normal 35 9 2" xfId="1802"/>
    <cellStyle name="Normal 35 9 3" xfId="1803"/>
    <cellStyle name="Normal 36 10" xfId="1804"/>
    <cellStyle name="Normal 36 11" xfId="1805"/>
    <cellStyle name="Normal 36 12" xfId="1806"/>
    <cellStyle name="Normal 36 13" xfId="1807"/>
    <cellStyle name="Normal 36 14" xfId="1808"/>
    <cellStyle name="Normal 36 15" xfId="1809"/>
    <cellStyle name="Normal 36 16" xfId="1810"/>
    <cellStyle name="Normal 36 2" xfId="1811"/>
    <cellStyle name="Normal 36 3" xfId="1812"/>
    <cellStyle name="Normal 36 4" xfId="1813"/>
    <cellStyle name="Normal 36 5" xfId="1814"/>
    <cellStyle name="Normal 36 6" xfId="1815"/>
    <cellStyle name="Normal 36 7" xfId="1816"/>
    <cellStyle name="Normal 36 8" xfId="1817"/>
    <cellStyle name="Normal 36 9" xfId="1818"/>
    <cellStyle name="Normal 37" xfId="1819"/>
    <cellStyle name="Normal 37 2" xfId="1820"/>
    <cellStyle name="Normal 38" xfId="1821"/>
    <cellStyle name="Normal 38 2" xfId="1822"/>
    <cellStyle name="Normal 39" xfId="1823"/>
    <cellStyle name="Normal 39 2" xfId="1824"/>
    <cellStyle name="Normal 39 3" xfId="1825"/>
    <cellStyle name="Normal 4" xfId="20"/>
    <cellStyle name="Normal 4 10" xfId="1826"/>
    <cellStyle name="Normal 4 10 2" xfId="1827"/>
    <cellStyle name="Normal 4 10 3" xfId="1828"/>
    <cellStyle name="Normal 4 11" xfId="1829"/>
    <cellStyle name="Normal 4 11 2" xfId="1830"/>
    <cellStyle name="Normal 4 11 3" xfId="1831"/>
    <cellStyle name="Normal 4 12" xfId="1832"/>
    <cellStyle name="Normal 4 12 2" xfId="1833"/>
    <cellStyle name="Normal 4 12 3" xfId="1834"/>
    <cellStyle name="Normal 4 13" xfId="1835"/>
    <cellStyle name="Normal 4 13 2" xfId="1836"/>
    <cellStyle name="Normal 4 13 3" xfId="1837"/>
    <cellStyle name="Normal 4 14" xfId="1838"/>
    <cellStyle name="Normal 4 14 2" xfId="1839"/>
    <cellStyle name="Normal 4 14 3" xfId="1840"/>
    <cellStyle name="Normal 4 15" xfId="1841"/>
    <cellStyle name="Normal 4 15 2" xfId="1842"/>
    <cellStyle name="Normal 4 15 3" xfId="1843"/>
    <cellStyle name="Normal 4 16" xfId="1844"/>
    <cellStyle name="Normal 4 16 2" xfId="1845"/>
    <cellStyle name="Normal 4 16 3" xfId="1846"/>
    <cellStyle name="Normal 4 17" xfId="1847"/>
    <cellStyle name="Normal 4 17 2" xfId="1848"/>
    <cellStyle name="Normal 4 17 3" xfId="1849"/>
    <cellStyle name="Normal 4 18" xfId="1850"/>
    <cellStyle name="Normal 4 18 2" xfId="1851"/>
    <cellStyle name="Normal 4 18 3" xfId="1852"/>
    <cellStyle name="Normal 4 19" xfId="1853"/>
    <cellStyle name="Normal 4 19 2" xfId="1854"/>
    <cellStyle name="Normal 4 19 3" xfId="1855"/>
    <cellStyle name="Normal 4 2" xfId="21"/>
    <cellStyle name="Normal 4 2 2" xfId="340"/>
    <cellStyle name="Normal 4 2 2 2" xfId="341"/>
    <cellStyle name="Normal 4 2 2 3" xfId="1856"/>
    <cellStyle name="Normal 4 2 3" xfId="342"/>
    <cellStyle name="Normal 4 2 3 2" xfId="1857"/>
    <cellStyle name="Normal 4 2 4" xfId="343"/>
    <cellStyle name="Normal 4 2 4 2" xfId="344"/>
    <cellStyle name="Normal 4 2 5" xfId="345"/>
    <cellStyle name="Normal 4 2 5 2" xfId="346"/>
    <cellStyle name="Normal 4 2 6" xfId="347"/>
    <cellStyle name="Normal 4 2 7" xfId="348"/>
    <cellStyle name="Normal 4 2 8" xfId="1858"/>
    <cellStyle name="Normal 4 2 9" xfId="1859"/>
    <cellStyle name="Normal 4 20" xfId="1860"/>
    <cellStyle name="Normal 4 20 2" xfId="1861"/>
    <cellStyle name="Normal 4 20 3" xfId="1862"/>
    <cellStyle name="Normal 4 21" xfId="1863"/>
    <cellStyle name="Normal 4 21 2" xfId="1864"/>
    <cellStyle name="Normal 4 21 3" xfId="1865"/>
    <cellStyle name="Normal 4 22" xfId="1866"/>
    <cellStyle name="Normal 4 22 2" xfId="1867"/>
    <cellStyle name="Normal 4 22 3" xfId="1868"/>
    <cellStyle name="Normal 4 23" xfId="1869"/>
    <cellStyle name="Normal 4 23 2" xfId="1870"/>
    <cellStyle name="Normal 4 23 3" xfId="1871"/>
    <cellStyle name="Normal 4 24" xfId="1872"/>
    <cellStyle name="Normal 4 24 2" xfId="1873"/>
    <cellStyle name="Normal 4 24 3" xfId="1874"/>
    <cellStyle name="Normal 4 25" xfId="1875"/>
    <cellStyle name="Normal 4 25 2" xfId="1876"/>
    <cellStyle name="Normal 4 25 3" xfId="1877"/>
    <cellStyle name="Normal 4 26" xfId="1878"/>
    <cellStyle name="Normal 4 27" xfId="1879"/>
    <cellStyle name="Normal 4 28" xfId="1880"/>
    <cellStyle name="Normal 4 29" xfId="1881"/>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356"/>
    <cellStyle name="Normal 4 4 2" xfId="357"/>
    <cellStyle name="Normal 4 4 3" xfId="1892"/>
    <cellStyle name="Normal 4 40" xfId="1893"/>
    <cellStyle name="Normal 4 41" xfId="1894"/>
    <cellStyle name="Normal 4 41 2" xfId="1895"/>
    <cellStyle name="Normal 4 41 3" xfId="1896"/>
    <cellStyle name="Normal 4 42" xfId="1897"/>
    <cellStyle name="Normal 4 42 2" xfId="1898"/>
    <cellStyle name="Normal 4 42 3" xfId="1899"/>
    <cellStyle name="Normal 4 43" xfId="1900"/>
    <cellStyle name="Normal 4 44" xfId="1901"/>
    <cellStyle name="Normal 4 45" xfId="1902"/>
    <cellStyle name="Normal 4 46" xfId="1903"/>
    <cellStyle name="Normal 4 47" xfId="2387"/>
    <cellStyle name="Normal 4 5" xfId="358"/>
    <cellStyle name="Normal 4 5 2" xfId="1904"/>
    <cellStyle name="Normal 4 5 3" xfId="1905"/>
    <cellStyle name="Normal 4 6" xfId="1906"/>
    <cellStyle name="Normal 4 6 2" xfId="1907"/>
    <cellStyle name="Normal 4 6 3" xfId="1908"/>
    <cellStyle name="Normal 4 7" xfId="1909"/>
    <cellStyle name="Normal 4 7 2" xfId="1910"/>
    <cellStyle name="Normal 4 7 3" xfId="1911"/>
    <cellStyle name="Normal 4 8" xfId="1912"/>
    <cellStyle name="Normal 4 8 2" xfId="1913"/>
    <cellStyle name="Normal 4 8 3" xfId="1914"/>
    <cellStyle name="Normal 4 9" xfId="1915"/>
    <cellStyle name="Normal 4 9 2" xfId="1916"/>
    <cellStyle name="Normal 4 9 3" xfId="1917"/>
    <cellStyle name="Normal 40" xfId="1918"/>
    <cellStyle name="Normal 40 2" xfId="1919"/>
    <cellStyle name="Normal 40 3" xfId="1920"/>
    <cellStyle name="Normal 41" xfId="1921"/>
    <cellStyle name="Normal 41 2" xfId="1922"/>
    <cellStyle name="Normal 41 3" xfId="1923"/>
    <cellStyle name="Normal 42" xfId="1924"/>
    <cellStyle name="Normal 42 2" xfId="1925"/>
    <cellStyle name="Normal 42 3" xfId="1926"/>
    <cellStyle name="Normal 5" xfId="23"/>
    <cellStyle name="Normal 5 10" xfId="1927"/>
    <cellStyle name="Normal 5 10 2" xfId="1928"/>
    <cellStyle name="Normal 5 10 3" xfId="1929"/>
    <cellStyle name="Normal 5 10 4" xfId="1930"/>
    <cellStyle name="Normal 5 11" xfId="1931"/>
    <cellStyle name="Normal 5 11 2" xfId="1932"/>
    <cellStyle name="Normal 5 11 3" xfId="1933"/>
    <cellStyle name="Normal 5 12" xfId="1934"/>
    <cellStyle name="Normal 5 12 2" xfId="1935"/>
    <cellStyle name="Normal 5 12 3" xfId="1936"/>
    <cellStyle name="Normal 5 13" xfId="1937"/>
    <cellStyle name="Normal 5 13 2" xfId="1938"/>
    <cellStyle name="Normal 5 13 3" xfId="1939"/>
    <cellStyle name="Normal 5 14" xfId="1940"/>
    <cellStyle name="Normal 5 14 2" xfId="1941"/>
    <cellStyle name="Normal 5 14 3" xfId="1942"/>
    <cellStyle name="Normal 5 15" xfId="1943"/>
    <cellStyle name="Normal 5 15 2" xfId="1944"/>
    <cellStyle name="Normal 5 15 3" xfId="1945"/>
    <cellStyle name="Normal 5 16" xfId="1946"/>
    <cellStyle name="Normal 5 16 2" xfId="1947"/>
    <cellStyle name="Normal 5 16 3" xfId="1948"/>
    <cellStyle name="Normal 5 17" xfId="1949"/>
    <cellStyle name="Normal 5 17 2" xfId="1950"/>
    <cellStyle name="Normal 5 17 3" xfId="1951"/>
    <cellStyle name="Normal 5 18" xfId="1952"/>
    <cellStyle name="Normal 5 18 2" xfId="1953"/>
    <cellStyle name="Normal 5 18 3" xfId="1954"/>
    <cellStyle name="Normal 5 19" xfId="1955"/>
    <cellStyle name="Normal 5 19 2" xfId="1956"/>
    <cellStyle name="Normal 5 19 3" xfId="1957"/>
    <cellStyle name="Normal 5 2" xfId="359"/>
    <cellStyle name="Normal 5 2 2" xfId="360"/>
    <cellStyle name="Normal 5 2 2 2" xfId="1958"/>
    <cellStyle name="Normal 5 2 2 3" xfId="1959"/>
    <cellStyle name="Normal 5 2 3" xfId="361"/>
    <cellStyle name="Normal 5 2 4" xfId="1960"/>
    <cellStyle name="Normal 5 20" xfId="1961"/>
    <cellStyle name="Normal 5 20 2" xfId="1962"/>
    <cellStyle name="Normal 5 20 3" xfId="1963"/>
    <cellStyle name="Normal 5 21" xfId="1964"/>
    <cellStyle name="Normal 5 21 2" xfId="1965"/>
    <cellStyle name="Normal 5 21 3" xfId="1966"/>
    <cellStyle name="Normal 5 22" xfId="1967"/>
    <cellStyle name="Normal 5 23" xfId="1968"/>
    <cellStyle name="Normal 5 24" xfId="1969"/>
    <cellStyle name="Normal 5 25" xfId="1970"/>
    <cellStyle name="Normal 5 25 2" xfId="1971"/>
    <cellStyle name="Normal 5 25 3" xfId="1972"/>
    <cellStyle name="Normal 5 26" xfId="1973"/>
    <cellStyle name="Normal 5 26 2" xfId="1974"/>
    <cellStyle name="Normal 5 26 3" xfId="1975"/>
    <cellStyle name="Normal 5 27" xfId="1976"/>
    <cellStyle name="Normal 5 27 2" xfId="1977"/>
    <cellStyle name="Normal 5 27 3" xfId="1978"/>
    <cellStyle name="Normal 5 28" xfId="1979"/>
    <cellStyle name="Normal 5 28 2" xfId="1980"/>
    <cellStyle name="Normal 5 28 3" xfId="1981"/>
    <cellStyle name="Normal 5 29" xfId="1982"/>
    <cellStyle name="Normal 5 29 2" xfId="1983"/>
    <cellStyle name="Normal 5 29 3" xfId="1984"/>
    <cellStyle name="Normal 5 3" xfId="362"/>
    <cellStyle name="Normal 5 3 2" xfId="363"/>
    <cellStyle name="Normal 5 3 3" xfId="1985"/>
    <cellStyle name="Normal 5 30" xfId="1986"/>
    <cellStyle name="Normal 5 30 2" xfId="1987"/>
    <cellStyle name="Normal 5 30 3" xfId="1988"/>
    <cellStyle name="Normal 5 31" xfId="1989"/>
    <cellStyle name="Normal 5 31 2" xfId="1990"/>
    <cellStyle name="Normal 5 31 3" xfId="1991"/>
    <cellStyle name="Normal 5 32" xfId="1992"/>
    <cellStyle name="Normal 5 32 2" xfId="1993"/>
    <cellStyle name="Normal 5 32 3" xfId="1994"/>
    <cellStyle name="Normal 5 33" xfId="1995"/>
    <cellStyle name="Normal 5 34" xfId="1996"/>
    <cellStyle name="Normal 5 35" xfId="1997"/>
    <cellStyle name="Normal 5 36" xfId="1998"/>
    <cellStyle name="Normal 5 37" xfId="1999"/>
    <cellStyle name="Normal 5 38" xfId="2000"/>
    <cellStyle name="Normal 5 39" xfId="2001"/>
    <cellStyle name="Normal 5 39 2" xfId="2002"/>
    <cellStyle name="Normal 5 39 3" xfId="2003"/>
    <cellStyle name="Normal 5 4" xfId="364"/>
    <cellStyle name="Normal 5 4 2" xfId="365"/>
    <cellStyle name="Normal 5 4 3" xfId="2004"/>
    <cellStyle name="Normal 5 4 4" xfId="2005"/>
    <cellStyle name="Normal 5 4 5" xfId="2006"/>
    <cellStyle name="Normal 5 40" xfId="2007"/>
    <cellStyle name="Normal 5 40 2" xfId="2008"/>
    <cellStyle name="Normal 5 40 3" xfId="2009"/>
    <cellStyle name="Normal 5 41" xfId="2010"/>
    <cellStyle name="Normal 5 41 2" xfId="2011"/>
    <cellStyle name="Normal 5 41 3" xfId="2012"/>
    <cellStyle name="Normal 5 42" xfId="2013"/>
    <cellStyle name="Normal 5 42 2" xfId="2014"/>
    <cellStyle name="Normal 5 42 3" xfId="2015"/>
    <cellStyle name="Normal 5 43" xfId="2016"/>
    <cellStyle name="Normal 5 43 2" xfId="2017"/>
    <cellStyle name="Normal 5 43 3" xfId="2018"/>
    <cellStyle name="Normal 5 44" xfId="2019"/>
    <cellStyle name="Normal 5 44 2" xfId="2020"/>
    <cellStyle name="Normal 5 44 3" xfId="2021"/>
    <cellStyle name="Normal 5 45" xfId="2022"/>
    <cellStyle name="Normal 5 45 2" xfId="2023"/>
    <cellStyle name="Normal 5 45 3" xfId="2024"/>
    <cellStyle name="Normal 5 46" xfId="2025"/>
    <cellStyle name="Normal 5 46 2" xfId="2026"/>
    <cellStyle name="Normal 5 46 3" xfId="2027"/>
    <cellStyle name="Normal 5 47" xfId="2028"/>
    <cellStyle name="Normal 5 47 2" xfId="2029"/>
    <cellStyle name="Normal 5 47 3" xfId="2030"/>
    <cellStyle name="Normal 5 48" xfId="2031"/>
    <cellStyle name="Normal 5 48 2" xfId="2032"/>
    <cellStyle name="Normal 5 48 3" xfId="2033"/>
    <cellStyle name="Normal 5 49" xfId="2034"/>
    <cellStyle name="Normal 5 49 2" xfId="2035"/>
    <cellStyle name="Normal 5 49 3" xfId="2036"/>
    <cellStyle name="Normal 5 5" xfId="366"/>
    <cellStyle name="Normal 5 5 2" xfId="2037"/>
    <cellStyle name="Normal 5 5 3" xfId="2038"/>
    <cellStyle name="Normal 5 5 4" xfId="2039"/>
    <cellStyle name="Normal 5 5 5" xfId="2040"/>
    <cellStyle name="Normal 5 50" xfId="2041"/>
    <cellStyle name="Normal 5 50 2" xfId="2042"/>
    <cellStyle name="Normal 5 50 3" xfId="2043"/>
    <cellStyle name="Normal 5 51" xfId="2044"/>
    <cellStyle name="Normal 5 52" xfId="2045"/>
    <cellStyle name="Normal 5 53" xfId="2046"/>
    <cellStyle name="Normal 5 54" xfId="2047"/>
    <cellStyle name="Normal 5 55" xfId="2048"/>
    <cellStyle name="Normal 5 6" xfId="2049"/>
    <cellStyle name="Normal 5 6 2" xfId="2050"/>
    <cellStyle name="Normal 5 6 3" xfId="2051"/>
    <cellStyle name="Normal 5 6 4" xfId="2052"/>
    <cellStyle name="Normal 5 7" xfId="2053"/>
    <cellStyle name="Normal 5 7 2" xfId="2054"/>
    <cellStyle name="Normal 5 7 3" xfId="2055"/>
    <cellStyle name="Normal 5 7 4" xfId="2056"/>
    <cellStyle name="Normal 5 8" xfId="2057"/>
    <cellStyle name="Normal 5 8 2" xfId="2058"/>
    <cellStyle name="Normal 5 8 3" xfId="2059"/>
    <cellStyle name="Normal 5 8 4" xfId="2060"/>
    <cellStyle name="Normal 5 9" xfId="2061"/>
    <cellStyle name="Normal 5 9 2" xfId="2062"/>
    <cellStyle name="Normal 5 9 3" xfId="2063"/>
    <cellStyle name="Normal 5 9 4" xfId="2064"/>
    <cellStyle name="Normal 6" xfId="24"/>
    <cellStyle name="Normal 6 10" xfId="2065"/>
    <cellStyle name="Normal 6 10 2" xfId="2066"/>
    <cellStyle name="Normal 6 10 3" xfId="2067"/>
    <cellStyle name="Normal 6 10 4" xfId="2068"/>
    <cellStyle name="Normal 6 11" xfId="2069"/>
    <cellStyle name="Normal 6 11 2" xfId="2070"/>
    <cellStyle name="Normal 6 11 3" xfId="2071"/>
    <cellStyle name="Normal 6 11 4" xfId="2072"/>
    <cellStyle name="Normal 6 12" xfId="2073"/>
    <cellStyle name="Normal 6 12 2" xfId="2074"/>
    <cellStyle name="Normal 6 12 3" xfId="2075"/>
    <cellStyle name="Normal 6 13" xfId="2076"/>
    <cellStyle name="Normal 6 13 2" xfId="2077"/>
    <cellStyle name="Normal 6 13 3" xfId="2078"/>
    <cellStyle name="Normal 6 14" xfId="2079"/>
    <cellStyle name="Normal 6 14 2" xfId="2080"/>
    <cellStyle name="Normal 6 14 3" xfId="2081"/>
    <cellStyle name="Normal 6 15" xfId="2082"/>
    <cellStyle name="Normal 6 15 2" xfId="2083"/>
    <cellStyle name="Normal 6 15 3" xfId="2084"/>
    <cellStyle name="Normal 6 16" xfId="2085"/>
    <cellStyle name="Normal 6 16 2" xfId="2086"/>
    <cellStyle name="Normal 6 16 3" xfId="2087"/>
    <cellStyle name="Normal 6 17" xfId="2088"/>
    <cellStyle name="Normal 6 17 2" xfId="2089"/>
    <cellStyle name="Normal 6 17 3" xfId="2090"/>
    <cellStyle name="Normal 6 18" xfId="2091"/>
    <cellStyle name="Normal 6 18 2" xfId="2092"/>
    <cellStyle name="Normal 6 18 3" xfId="2093"/>
    <cellStyle name="Normal 6 19" xfId="2094"/>
    <cellStyle name="Normal 6 19 2" xfId="2095"/>
    <cellStyle name="Normal 6 19 3" xfId="2096"/>
    <cellStyle name="Normal 6 2" xfId="367"/>
    <cellStyle name="Normal 6 2 10" xfId="2097"/>
    <cellStyle name="Normal 6 2 11" xfId="2098"/>
    <cellStyle name="Normal 6 2 12" xfId="2099"/>
    <cellStyle name="Normal 6 2 13" xfId="2100"/>
    <cellStyle name="Normal 6 2 14" xfId="2101"/>
    <cellStyle name="Normal 6 2 15" xfId="2102"/>
    <cellStyle name="Normal 6 2 16" xfId="2103"/>
    <cellStyle name="Normal 6 2 17" xfId="2104"/>
    <cellStyle name="Normal 6 2 2" xfId="368"/>
    <cellStyle name="Normal 6 2 3" xfId="369"/>
    <cellStyle name="Normal 6 2 4" xfId="2105"/>
    <cellStyle name="Normal 6 2 5" xfId="2106"/>
    <cellStyle name="Normal 6 2 6" xfId="2107"/>
    <cellStyle name="Normal 6 2 7" xfId="2108"/>
    <cellStyle name="Normal 6 2 8" xfId="2109"/>
    <cellStyle name="Normal 6 2 9" xfId="2110"/>
    <cellStyle name="Normal 6 20" xfId="2111"/>
    <cellStyle name="Normal 6 20 2" xfId="2112"/>
    <cellStyle name="Normal 6 20 3" xfId="2113"/>
    <cellStyle name="Normal 6 21" xfId="2114"/>
    <cellStyle name="Normal 6 21 2" xfId="2115"/>
    <cellStyle name="Normal 6 21 3" xfId="2116"/>
    <cellStyle name="Normal 6 22" xfId="2117"/>
    <cellStyle name="Normal 6 22 2" xfId="2118"/>
    <cellStyle name="Normal 6 22 3" xfId="2119"/>
    <cellStyle name="Normal 6 23" xfId="2120"/>
    <cellStyle name="Normal 6 24" xfId="2121"/>
    <cellStyle name="Normal 6 25" xfId="2122"/>
    <cellStyle name="Normal 6 26" xfId="2123"/>
    <cellStyle name="Normal 6 27" xfId="2124"/>
    <cellStyle name="Normal 6 28" xfId="2125"/>
    <cellStyle name="Normal 6 29" xfId="2126"/>
    <cellStyle name="Normal 6 3" xfId="370"/>
    <cellStyle name="Normal 6 3 10" xfId="2127"/>
    <cellStyle name="Normal 6 3 11" xfId="2128"/>
    <cellStyle name="Normal 6 3 12" xfId="2129"/>
    <cellStyle name="Normal 6 3 13" xfId="2130"/>
    <cellStyle name="Normal 6 3 14" xfId="2131"/>
    <cellStyle name="Normal 6 3 15" xfId="2132"/>
    <cellStyle name="Normal 6 3 16" xfId="2133"/>
    <cellStyle name="Normal 6 3 17" xfId="2134"/>
    <cellStyle name="Normal 6 3 2" xfId="371"/>
    <cellStyle name="Normal 6 3 3" xfId="2135"/>
    <cellStyle name="Normal 6 3 4" xfId="2136"/>
    <cellStyle name="Normal 6 3 5" xfId="2137"/>
    <cellStyle name="Normal 6 3 6" xfId="2138"/>
    <cellStyle name="Normal 6 3 7" xfId="2139"/>
    <cellStyle name="Normal 6 3 8" xfId="2140"/>
    <cellStyle name="Normal 6 3 9" xfId="2141"/>
    <cellStyle name="Normal 6 30" xfId="2142"/>
    <cellStyle name="Normal 6 4" xfId="372"/>
    <cellStyle name="Normal 6 4 10" xfId="2143"/>
    <cellStyle name="Normal 6 4 11" xfId="2144"/>
    <cellStyle name="Normal 6 4 12" xfId="2145"/>
    <cellStyle name="Normal 6 4 13" xfId="2146"/>
    <cellStyle name="Normal 6 4 14" xfId="2147"/>
    <cellStyle name="Normal 6 4 15" xfId="2148"/>
    <cellStyle name="Normal 6 4 16" xfId="2149"/>
    <cellStyle name="Normal 6 4 17" xfId="2150"/>
    <cellStyle name="Normal 6 4 2" xfId="373"/>
    <cellStyle name="Normal 6 4 3" xfId="2151"/>
    <cellStyle name="Normal 6 4 4" xfId="2152"/>
    <cellStyle name="Normal 6 4 5" xfId="2153"/>
    <cellStyle name="Normal 6 4 6" xfId="2154"/>
    <cellStyle name="Normal 6 4 7" xfId="2155"/>
    <cellStyle name="Normal 6 4 8" xfId="2156"/>
    <cellStyle name="Normal 6 4 9" xfId="2157"/>
    <cellStyle name="Normal 6 5" xfId="374"/>
    <cellStyle name="Normal 6 5 10" xfId="2158"/>
    <cellStyle name="Normal 6 5 11" xfId="2159"/>
    <cellStyle name="Normal 6 5 12" xfId="2160"/>
    <cellStyle name="Normal 6 5 13" xfId="2161"/>
    <cellStyle name="Normal 6 5 14" xfId="2162"/>
    <cellStyle name="Normal 6 5 15" xfId="2163"/>
    <cellStyle name="Normal 6 5 16" xfId="2164"/>
    <cellStyle name="Normal 6 5 17" xfId="2165"/>
    <cellStyle name="Normal 6 5 2" xfId="375"/>
    <cellStyle name="Normal 6 5 3" xfId="2166"/>
    <cellStyle name="Normal 6 5 4" xfId="2167"/>
    <cellStyle name="Normal 6 5 5" xfId="2168"/>
    <cellStyle name="Normal 6 5 6" xfId="2169"/>
    <cellStyle name="Normal 6 5 7" xfId="2170"/>
    <cellStyle name="Normal 6 5 8" xfId="2171"/>
    <cellStyle name="Normal 6 5 9" xfId="2172"/>
    <cellStyle name="Normal 6 6" xfId="376"/>
    <cellStyle name="Normal 6 6 10" xfId="2173"/>
    <cellStyle name="Normal 6 6 11" xfId="2174"/>
    <cellStyle name="Normal 6 6 12" xfId="2175"/>
    <cellStyle name="Normal 6 6 13" xfId="2176"/>
    <cellStyle name="Normal 6 6 14" xfId="2177"/>
    <cellStyle name="Normal 6 6 15" xfId="2178"/>
    <cellStyle name="Normal 6 6 16" xfId="2179"/>
    <cellStyle name="Normal 6 6 17" xfId="2180"/>
    <cellStyle name="Normal 6 6 2" xfId="377"/>
    <cellStyle name="Normal 6 6 3" xfId="2181"/>
    <cellStyle name="Normal 6 6 4" xfId="2182"/>
    <cellStyle name="Normal 6 6 5" xfId="2183"/>
    <cellStyle name="Normal 6 6 6" xfId="2184"/>
    <cellStyle name="Normal 6 6 7" xfId="2185"/>
    <cellStyle name="Normal 6 6 8" xfId="2186"/>
    <cellStyle name="Normal 6 6 9" xfId="2187"/>
    <cellStyle name="Normal 6 7" xfId="378"/>
    <cellStyle name="Normal 6 7 10" xfId="2188"/>
    <cellStyle name="Normal 6 7 11" xfId="2189"/>
    <cellStyle name="Normal 6 7 12" xfId="2190"/>
    <cellStyle name="Normal 6 7 13" xfId="2191"/>
    <cellStyle name="Normal 6 7 14" xfId="2192"/>
    <cellStyle name="Normal 6 7 15" xfId="2193"/>
    <cellStyle name="Normal 6 7 16" xfId="2194"/>
    <cellStyle name="Normal 6 7 17" xfId="2195"/>
    <cellStyle name="Normal 6 7 2" xfId="2196"/>
    <cellStyle name="Normal 6 7 3" xfId="2197"/>
    <cellStyle name="Normal 6 7 4" xfId="2198"/>
    <cellStyle name="Normal 6 7 5" xfId="2199"/>
    <cellStyle name="Normal 6 7 6" xfId="2200"/>
    <cellStyle name="Normal 6 7 7" xfId="2201"/>
    <cellStyle name="Normal 6 7 8" xfId="2202"/>
    <cellStyle name="Normal 6 7 9" xfId="2203"/>
    <cellStyle name="Normal 6 8" xfId="379"/>
    <cellStyle name="Normal 6 8 2" xfId="2204"/>
    <cellStyle name="Normal 6 8 3" xfId="2205"/>
    <cellStyle name="Normal 6 8 4" xfId="2206"/>
    <cellStyle name="Normal 6 9" xfId="2207"/>
    <cellStyle name="Normal 6 9 2" xfId="2208"/>
    <cellStyle name="Normal 6 9 3" xfId="2209"/>
    <cellStyle name="Normal 6 9 4" xfId="2210"/>
    <cellStyle name="Normal 7" xfId="25"/>
    <cellStyle name="Normal 7 10" xfId="2211"/>
    <cellStyle name="Normal 7 10 2" xfId="2212"/>
    <cellStyle name="Normal 7 10 3" xfId="2213"/>
    <cellStyle name="Normal 7 11" xfId="2214"/>
    <cellStyle name="Normal 7 11 2" xfId="2215"/>
    <cellStyle name="Normal 7 11 3" xfId="2216"/>
    <cellStyle name="Normal 7 12" xfId="2217"/>
    <cellStyle name="Normal 7 12 2" xfId="2218"/>
    <cellStyle name="Normal 7 12 3" xfId="2219"/>
    <cellStyle name="Normal 7 13" xfId="2220"/>
    <cellStyle name="Normal 7 13 2" xfId="2221"/>
    <cellStyle name="Normal 7 13 3" xfId="2222"/>
    <cellStyle name="Normal 7 14" xfId="2223"/>
    <cellStyle name="Normal 7 14 2" xfId="2224"/>
    <cellStyle name="Normal 7 14 3" xfId="2225"/>
    <cellStyle name="Normal 7 15" xfId="2226"/>
    <cellStyle name="Normal 7 15 2" xfId="2227"/>
    <cellStyle name="Normal 7 15 3" xfId="2228"/>
    <cellStyle name="Normal 7 16" xfId="2229"/>
    <cellStyle name="Normal 7 16 2" xfId="2230"/>
    <cellStyle name="Normal 7 16 3" xfId="2231"/>
    <cellStyle name="Normal 7 17" xfId="2232"/>
    <cellStyle name="Normal 7 18" xfId="2233"/>
    <cellStyle name="Normal 7 19" xfId="2234"/>
    <cellStyle name="Normal 7 2" xfId="380"/>
    <cellStyle name="Normal 7 2 2" xfId="2235"/>
    <cellStyle name="Normal 7 2 3" xfId="2236"/>
    <cellStyle name="Normal 7 20" xfId="2237"/>
    <cellStyle name="Normal 7 21" xfId="2238"/>
    <cellStyle name="Normal 7 22" xfId="2239"/>
    <cellStyle name="Normal 7 23" xfId="2240"/>
    <cellStyle name="Normal 7 3" xfId="381"/>
    <cellStyle name="Normal 7 3 2" xfId="382"/>
    <cellStyle name="Normal 7 3 3" xfId="2241"/>
    <cellStyle name="Normal 7 4" xfId="383"/>
    <cellStyle name="Normal 7 4 2" xfId="384"/>
    <cellStyle name="Normal 7 4 3" xfId="2242"/>
    <cellStyle name="Normal 7 5" xfId="385"/>
    <cellStyle name="Normal 7 5 2" xfId="386"/>
    <cellStyle name="Normal 7 5 3" xfId="2243"/>
    <cellStyle name="Normal 7 6" xfId="387"/>
    <cellStyle name="Normal 7 6 2" xfId="388"/>
    <cellStyle name="Normal 7 6 3" xfId="2244"/>
    <cellStyle name="Normal 7 7" xfId="389"/>
    <cellStyle name="Normal 7 7 2" xfId="2245"/>
    <cellStyle name="Normal 7 7 3" xfId="2246"/>
    <cellStyle name="Normal 7 8" xfId="390"/>
    <cellStyle name="Normal 7 8 2" xfId="2247"/>
    <cellStyle name="Normal 7 8 3" xfId="2248"/>
    <cellStyle name="Normal 7 9" xfId="391"/>
    <cellStyle name="Normal 7 9 2" xfId="2249"/>
    <cellStyle name="Normal 7 9 3" xfId="2250"/>
    <cellStyle name="Normal 8" xfId="26"/>
    <cellStyle name="Normal 8 2" xfId="2251"/>
    <cellStyle name="Normal 8 3" xfId="2252"/>
    <cellStyle name="Normal 8 4" xfId="2253"/>
    <cellStyle name="Normal 9" xfId="27"/>
    <cellStyle name="Normal 9 10" xfId="2254"/>
    <cellStyle name="Normal 9 10 2" xfId="2255"/>
    <cellStyle name="Normal 9 10 3" xfId="2256"/>
    <cellStyle name="Normal 9 11" xfId="2257"/>
    <cellStyle name="Normal 9 11 2" xfId="2258"/>
    <cellStyle name="Normal 9 11 3" xfId="2259"/>
    <cellStyle name="Normal 9 12" xfId="2260"/>
    <cellStyle name="Normal 9 12 2" xfId="2261"/>
    <cellStyle name="Normal 9 12 3" xfId="2262"/>
    <cellStyle name="Normal 9 13" xfId="2263"/>
    <cellStyle name="Normal 9 13 2" xfId="2264"/>
    <cellStyle name="Normal 9 13 3" xfId="2265"/>
    <cellStyle name="Normal 9 14" xfId="2266"/>
    <cellStyle name="Normal 9 14 2" xfId="2267"/>
    <cellStyle name="Normal 9 14 3" xfId="2268"/>
    <cellStyle name="Normal 9 15" xfId="2269"/>
    <cellStyle name="Normal 9 15 2" xfId="2270"/>
    <cellStyle name="Normal 9 15 3" xfId="2271"/>
    <cellStyle name="Normal 9 16" xfId="2272"/>
    <cellStyle name="Normal 9 16 2" xfId="2273"/>
    <cellStyle name="Normal 9 16 3" xfId="2274"/>
    <cellStyle name="Normal 9 17" xfId="2275"/>
    <cellStyle name="Normal 9 18" xfId="2276"/>
    <cellStyle name="Normal 9 19" xfId="2277"/>
    <cellStyle name="Normal 9 2" xfId="2278"/>
    <cellStyle name="Normal 9 2 2" xfId="2279"/>
    <cellStyle name="Normal 9 2 3" xfId="2280"/>
    <cellStyle name="Normal 9 3" xfId="2281"/>
    <cellStyle name="Normal 9 3 2" xfId="2282"/>
    <cellStyle name="Normal 9 3 3" xfId="2283"/>
    <cellStyle name="Normal 9 4" xfId="2284"/>
    <cellStyle name="Normal 9 4 2" xfId="2285"/>
    <cellStyle name="Normal 9 4 3" xfId="2286"/>
    <cellStyle name="Normal 9 5" xfId="2287"/>
    <cellStyle name="Normal 9 5 2" xfId="2288"/>
    <cellStyle name="Normal 9 5 3" xfId="2289"/>
    <cellStyle name="Normal 9 6" xfId="2290"/>
    <cellStyle name="Normal 9 6 2" xfId="2291"/>
    <cellStyle name="Normal 9 6 3" xfId="2292"/>
    <cellStyle name="Normal 9 7" xfId="2293"/>
    <cellStyle name="Normal 9 7 2" xfId="2294"/>
    <cellStyle name="Normal 9 7 3" xfId="2295"/>
    <cellStyle name="Normal 9 8" xfId="2296"/>
    <cellStyle name="Normal 9 8 2" xfId="2297"/>
    <cellStyle name="Normal 9 8 3" xfId="2298"/>
    <cellStyle name="Normal 9 9" xfId="2299"/>
    <cellStyle name="Normal 9 9 2" xfId="2300"/>
    <cellStyle name="Normal 9 9 3" xfId="2301"/>
    <cellStyle name="Normal_Final main report tables" xfId="2367"/>
    <cellStyle name="Note 2" xfId="2302"/>
    <cellStyle name="Note 2 10" xfId="2303"/>
    <cellStyle name="Note 2 11" xfId="2304"/>
    <cellStyle name="Note 2 12" xfId="2305"/>
    <cellStyle name="Note 2 13" xfId="2306"/>
    <cellStyle name="Note 2 14" xfId="2307"/>
    <cellStyle name="Note 2 15" xfId="2308"/>
    <cellStyle name="Note 2 16" xfId="2309"/>
    <cellStyle name="Note 2 17" xfId="2310"/>
    <cellStyle name="Note 2 18" xfId="2311"/>
    <cellStyle name="Note 2 19" xfId="2312"/>
    <cellStyle name="Note 2 2" xfId="2313"/>
    <cellStyle name="Note 2 2 2" xfId="2415"/>
    <cellStyle name="Note 2 20" xfId="2314"/>
    <cellStyle name="Note 2 21" xfId="2414"/>
    <cellStyle name="Note 2 3" xfId="2315"/>
    <cellStyle name="Note 2 4" xfId="2316"/>
    <cellStyle name="Note 2 5" xfId="2317"/>
    <cellStyle name="Note 2 6" xfId="2318"/>
    <cellStyle name="Note 2 7" xfId="2319"/>
    <cellStyle name="Note 2 8" xfId="2320"/>
    <cellStyle name="Note 2 9" xfId="2321"/>
    <cellStyle name="Note 3" xfId="2322"/>
    <cellStyle name="Note 3 2" xfId="2323"/>
    <cellStyle name="Note 3 3" xfId="2416"/>
    <cellStyle name="Note 4" xfId="2324"/>
    <cellStyle name="Note 4 2" xfId="2417"/>
    <cellStyle name="Note 5" xfId="2383"/>
    <cellStyle name="Output 2" xfId="2325"/>
    <cellStyle name="Output 2 2" xfId="2326"/>
    <cellStyle name="Output 2 3" xfId="2327"/>
    <cellStyle name="Output 2 4" xfId="2328"/>
    <cellStyle name="Output 2 5" xfId="2329"/>
    <cellStyle name="Output 2 6" xfId="2330"/>
    <cellStyle name="Output 2 7" xfId="2331"/>
    <cellStyle name="Percent 2" xfId="28"/>
    <cellStyle name="Percent 2 10" xfId="2332"/>
    <cellStyle name="Percent 2 11" xfId="2333"/>
    <cellStyle name="Percent 2 12" xfId="2334"/>
    <cellStyle name="Percent 2 13" xfId="2335"/>
    <cellStyle name="Percent 2 14" xfId="2336"/>
    <cellStyle name="Percent 2 15" xfId="2337"/>
    <cellStyle name="Percent 2 16" xfId="2338"/>
    <cellStyle name="Percent 2 17" xfId="2339"/>
    <cellStyle name="Percent 2 18" xfId="2340"/>
    <cellStyle name="Percent 2 19" xfId="2341"/>
    <cellStyle name="Percent 2 2" xfId="2342"/>
    <cellStyle name="Percent 2 20" xfId="2343"/>
    <cellStyle name="Percent 2 21" xfId="2344"/>
    <cellStyle name="Percent 2 22" xfId="2345"/>
    <cellStyle name="Percent 2 23" xfId="2346"/>
    <cellStyle name="Percent 2 3" xfId="2347"/>
    <cellStyle name="Percent 2 4" xfId="2348"/>
    <cellStyle name="Percent 2 5" xfId="2349"/>
    <cellStyle name="Percent 2 6" xfId="2350"/>
    <cellStyle name="Percent 2 7" xfId="2351"/>
    <cellStyle name="Percent 2 8" xfId="2352"/>
    <cellStyle name="Percent 2 9" xfId="2353"/>
    <cellStyle name="Percent 3" xfId="29"/>
    <cellStyle name="Percent 3 2" xfId="392"/>
    <cellStyle name="Percent 4" xfId="393"/>
    <cellStyle name="Percent 5" xfId="394"/>
    <cellStyle name="Percent 5 2" xfId="395"/>
    <cellStyle name="Percent 6" xfId="396"/>
    <cellStyle name="Row_Headings" xfId="397"/>
    <cellStyle name="style1446797810466" xfId="2386"/>
    <cellStyle name="Title 2" xfId="2354"/>
    <cellStyle name="Total 2" xfId="2355"/>
    <cellStyle name="Total 2 2" xfId="2356"/>
    <cellStyle name="Total 2 3" xfId="2357"/>
    <cellStyle name="Total 2 4" xfId="2358"/>
    <cellStyle name="Total 2 5" xfId="2359"/>
    <cellStyle name="Total 2 6" xfId="2360"/>
    <cellStyle name="Total 2 7" xfId="2361"/>
    <cellStyle name="Warning Text 2" xfId="2362"/>
  </cellStyles>
  <dxfs count="0"/>
  <tableStyles count="0" defaultTableStyle="TableStyleMedium9" defaultPivotStyle="PivotStyleLight16"/>
  <colors>
    <mruColors>
      <color rgb="FF3182BD"/>
      <color rgb="FF6BAEE7"/>
      <color rgb="FF000080"/>
      <color rgb="FF08519C"/>
      <color rgb="FF7F7F7F"/>
      <color rgb="FFBFBFBF"/>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25505050505064E-2"/>
          <c:y val="9.3108361454818142E-2"/>
          <c:w val="0.92555328282828253"/>
          <c:h val="0.71255808266079723"/>
        </c:manualLayout>
      </c:layout>
      <c:lineChart>
        <c:grouping val="standard"/>
        <c:varyColors val="0"/>
        <c:ser>
          <c:idx val="1"/>
          <c:order val="0"/>
          <c:tx>
            <c:v>NSW data</c:v>
          </c:tx>
          <c:marker>
            <c:symbol val="diamond"/>
            <c:size val="7"/>
            <c:spPr>
              <a:solidFill>
                <a:srgbClr val="6BAEE7"/>
              </a:solidFill>
              <a:ln w="19050">
                <a:solidFill>
                  <a:srgbClr val="3182BD"/>
                </a:solidFill>
              </a:ln>
            </c:spPr>
          </c:marker>
          <c:dPt>
            <c:idx val="0"/>
            <c:marker>
              <c:spPr>
                <a:solidFill>
                  <a:srgbClr val="6BAEE7"/>
                </a:solidFill>
                <a:ln w="19050">
                  <a:solidFill>
                    <a:srgbClr val="6BAEE7"/>
                  </a:solidFill>
                </a:ln>
              </c:spPr>
            </c:marker>
            <c:bubble3D val="0"/>
            <c:extLst>
              <c:ext xmlns:c16="http://schemas.microsoft.com/office/drawing/2014/chart" uri="{C3380CC4-5D6E-409C-BE32-E72D297353CC}">
                <c16:uniqueId val="{00000004-6A95-463E-8F3A-158BCBE7B0B1}"/>
              </c:ext>
            </c:extLst>
          </c:dPt>
          <c:dPt>
            <c:idx val="11"/>
            <c:bubble3D val="0"/>
            <c:extLst>
              <c:ext xmlns:c16="http://schemas.microsoft.com/office/drawing/2014/chart" uri="{C3380CC4-5D6E-409C-BE32-E72D297353CC}">
                <c16:uniqueId val="{00000000-6A95-463E-8F3A-158BCBE7B0B1}"/>
              </c:ext>
            </c:extLst>
          </c:dPt>
          <c:cat>
            <c:strRef>
              <c:f>'NSW Calculations'!$A$19:$A$42</c:f>
              <c:strCache>
                <c:ptCount val="24"/>
                <c:pt idx="0">
                  <c:v>2016/17</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strCache>
            </c:strRef>
          </c:cat>
          <c:val>
            <c:numRef>
              <c:f>'NSW Calculations'!$T$19:$T$42</c:f>
              <c:numCache>
                <c:formatCode>0.0</c:formatCode>
                <c:ptCount val="24"/>
                <c:pt idx="0">
                  <c:v>18.635682587150036</c:v>
                </c:pt>
              </c:numCache>
            </c:numRef>
          </c:val>
          <c:smooth val="0"/>
          <c:extLst>
            <c:ext xmlns:c16="http://schemas.microsoft.com/office/drawing/2014/chart" uri="{C3380CC4-5D6E-409C-BE32-E72D297353CC}">
              <c16:uniqueId val="{00000001-6A95-463E-8F3A-158BCBE7B0B1}"/>
            </c:ext>
          </c:extLst>
        </c:ser>
        <c:ser>
          <c:idx val="2"/>
          <c:order val="1"/>
          <c:tx>
            <c:v>Projected data</c:v>
          </c:tx>
          <c:spPr>
            <a:ln w="25400">
              <a:solidFill>
                <a:srgbClr val="6BAEE7"/>
              </a:solidFill>
              <a:prstDash val="sysDash"/>
            </a:ln>
          </c:spPr>
          <c:marker>
            <c:symbol val="none"/>
          </c:marker>
          <c:cat>
            <c:strRef>
              <c:f>'NSW Calculations'!$A$19:$A$42</c:f>
              <c:strCache>
                <c:ptCount val="24"/>
                <c:pt idx="0">
                  <c:v>2016/17</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strCache>
            </c:strRef>
          </c:cat>
          <c:val>
            <c:numRef>
              <c:f>'NSW Calculations'!$U$19:$U$42</c:f>
              <c:numCache>
                <c:formatCode>0.0</c:formatCode>
                <c:ptCount val="24"/>
                <c:pt idx="1">
                  <c:v>18.291867473945281</c:v>
                </c:pt>
                <c:pt idx="2">
                  <c:v>17.962306922734051</c:v>
                </c:pt>
                <c:pt idx="3">
                  <c:v>17.645368051487882</c:v>
                </c:pt>
                <c:pt idx="4">
                  <c:v>17.339951402796256</c:v>
                </c:pt>
                <c:pt idx="5">
                  <c:v>17.043532885406837</c:v>
                </c:pt>
                <c:pt idx="6">
                  <c:v>16.753814151480263</c:v>
                </c:pt>
                <c:pt idx="7">
                  <c:v>16.472821903044434</c:v>
                </c:pt>
                <c:pt idx="8">
                  <c:v>16.197476529670041</c:v>
                </c:pt>
                <c:pt idx="9">
                  <c:v>15.933663497675981</c:v>
                </c:pt>
                <c:pt idx="10">
                  <c:v>15.677984074450176</c:v>
                </c:pt>
                <c:pt idx="11">
                  <c:v>15.430190114087209</c:v>
                </c:pt>
                <c:pt idx="12">
                  <c:v>15.19451661259501</c:v>
                </c:pt>
                <c:pt idx="13">
                  <c:v>14.972227068380898</c:v>
                </c:pt>
                <c:pt idx="14">
                  <c:v>14.762181697932981</c:v>
                </c:pt>
                <c:pt idx="15">
                  <c:v>14.562183020290053</c:v>
                </c:pt>
                <c:pt idx="16">
                  <c:v>14.371383469796751</c:v>
                </c:pt>
                <c:pt idx="17">
                  <c:v>14.189437637812427</c:v>
                </c:pt>
                <c:pt idx="18">
                  <c:v>14.016219042152745</c:v>
                </c:pt>
                <c:pt idx="19">
                  <c:v>13.850630001800274</c:v>
                </c:pt>
                <c:pt idx="20">
                  <c:v>13.691903710522649</c:v>
                </c:pt>
                <c:pt idx="21">
                  <c:v>13.539553444895096</c:v>
                </c:pt>
                <c:pt idx="22">
                  <c:v>13.393184150389578</c:v>
                </c:pt>
                <c:pt idx="23">
                  <c:v>13.252847542703131</c:v>
                </c:pt>
              </c:numCache>
            </c:numRef>
          </c:val>
          <c:smooth val="0"/>
          <c:extLst>
            <c:ext xmlns:c16="http://schemas.microsoft.com/office/drawing/2014/chart" uri="{C3380CC4-5D6E-409C-BE32-E72D297353CC}">
              <c16:uniqueId val="{00000002-6A95-463E-8F3A-158BCBE7B0B1}"/>
            </c:ext>
          </c:extLst>
        </c:ser>
        <c:ser>
          <c:idx val="3"/>
          <c:order val="2"/>
          <c:tx>
            <c:v>2020 target</c:v>
          </c:tx>
          <c:spPr>
            <a:ln>
              <a:noFill/>
            </a:ln>
          </c:spPr>
          <c:marker>
            <c:symbol val="circle"/>
            <c:size val="6"/>
            <c:spPr>
              <a:solidFill>
                <a:srgbClr val="FF0000"/>
              </a:solidFill>
              <a:ln>
                <a:noFill/>
              </a:ln>
            </c:spPr>
          </c:marker>
          <c:cat>
            <c:strRef>
              <c:f>'NSW Calculations'!$A$19:$A$42</c:f>
              <c:strCache>
                <c:ptCount val="24"/>
                <c:pt idx="0">
                  <c:v>2016/17</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strCache>
            </c:strRef>
          </c:cat>
          <c:val>
            <c:numRef>
              <c:f>'NSW Calculations'!$V$19:$V$42</c:f>
              <c:numCache>
                <c:formatCode>General</c:formatCode>
                <c:ptCount val="24"/>
                <c:pt idx="4">
                  <c:v>16</c:v>
                </c:pt>
              </c:numCache>
            </c:numRef>
          </c:val>
          <c:smooth val="0"/>
          <c:extLst>
            <c:ext xmlns:c16="http://schemas.microsoft.com/office/drawing/2014/chart" uri="{C3380CC4-5D6E-409C-BE32-E72D297353CC}">
              <c16:uniqueId val="{00000003-6A95-463E-8F3A-158BCBE7B0B1}"/>
            </c:ext>
          </c:extLst>
        </c:ser>
        <c:dLbls>
          <c:showLegendKey val="0"/>
          <c:showVal val="0"/>
          <c:showCatName val="0"/>
          <c:showSerName val="0"/>
          <c:showPercent val="0"/>
          <c:showBubbleSize val="0"/>
        </c:dLbls>
        <c:marker val="1"/>
        <c:smooth val="0"/>
        <c:axId val="94972544"/>
        <c:axId val="123333248"/>
      </c:lineChart>
      <c:catAx>
        <c:axId val="94972544"/>
        <c:scaling>
          <c:orientation val="minMax"/>
        </c:scaling>
        <c:delete val="0"/>
        <c:axPos val="b"/>
        <c:numFmt formatCode="General" sourceLinked="0"/>
        <c:majorTickMark val="none"/>
        <c:minorTickMark val="none"/>
        <c:tickLblPos val="nextTo"/>
        <c:spPr>
          <a:ln>
            <a:solidFill>
              <a:srgbClr val="7F7F7F"/>
            </a:solidFill>
          </a:ln>
        </c:spPr>
        <c:txPr>
          <a:bodyPr rot="-5400000" vert="horz"/>
          <a:lstStyle/>
          <a:p>
            <a:pPr>
              <a:defRPr sz="900">
                <a:latin typeface="Verdana" pitchFamily="34" charset="0"/>
                <a:ea typeface="Verdana" pitchFamily="34" charset="0"/>
                <a:cs typeface="Verdana" pitchFamily="34" charset="0"/>
              </a:defRPr>
            </a:pPr>
            <a:endParaRPr lang="en-US"/>
          </a:p>
        </c:txPr>
        <c:crossAx val="123333248"/>
        <c:crosses val="autoZero"/>
        <c:auto val="1"/>
        <c:lblAlgn val="ctr"/>
        <c:lblOffset val="100"/>
        <c:noMultiLvlLbl val="0"/>
      </c:catAx>
      <c:valAx>
        <c:axId val="123333248"/>
        <c:scaling>
          <c:orientation val="minMax"/>
          <c:max val="30"/>
        </c:scaling>
        <c:delete val="0"/>
        <c:axPos val="l"/>
        <c:majorGridlines>
          <c:spPr>
            <a:ln>
              <a:solidFill>
                <a:srgbClr val="BFBFBF"/>
              </a:solidFill>
            </a:ln>
          </c:spPr>
        </c:majorGridlines>
        <c:numFmt formatCode="0" sourceLinked="0"/>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94972544"/>
        <c:crosses val="autoZero"/>
        <c:crossBetween val="between"/>
      </c:valAx>
    </c:plotArea>
    <c:plotVisOnly val="1"/>
    <c:dispBlanksAs val="gap"/>
    <c:showDLblsOverMax val="0"/>
  </c:chart>
  <c:spPr>
    <a:ln>
      <a:noFill/>
    </a:ln>
  </c:spPr>
  <c:printSettings>
    <c:headerFooter/>
    <c:pageMargins b="0.7500000000000101" l="0.70000000000000062" r="0.70000000000000062" t="0.7500000000000101"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25505050505064E-2"/>
          <c:y val="9.0939224829905976E-2"/>
          <c:w val="0.92555328282828253"/>
          <c:h val="0.70016624620951506"/>
        </c:manualLayout>
      </c:layout>
      <c:lineChart>
        <c:grouping val="standard"/>
        <c:varyColors val="0"/>
        <c:ser>
          <c:idx val="0"/>
          <c:order val="0"/>
          <c:tx>
            <c:v>WHS data</c:v>
          </c:tx>
          <c:spPr>
            <a:ln w="28575">
              <a:solidFill>
                <a:srgbClr val="3182BD"/>
              </a:solidFill>
            </a:ln>
          </c:spPr>
          <c:marker>
            <c:symbol val="none"/>
          </c:marker>
          <c:cat>
            <c:strRef>
              <c:f>'WHS Calculations'!$A$8:$A$42</c:f>
              <c:strCache>
                <c:ptCount val="35"/>
                <c:pt idx="0">
                  <c:v>2004/05</c:v>
                </c:pt>
                <c:pt idx="1">
                  <c:v>2005/06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strCache>
            </c:strRef>
          </c:cat>
          <c:val>
            <c:numRef>
              <c:f>'WHS Calculations'!$S$8:$S$42</c:f>
              <c:numCache>
                <c:formatCode>0.0</c:formatCode>
                <c:ptCount val="35"/>
                <c:pt idx="0">
                  <c:v>26.997579999999999</c:v>
                </c:pt>
                <c:pt idx="1">
                  <c:v>26.5778</c:v>
                </c:pt>
                <c:pt idx="2">
                  <c:v>24.715060000000001</c:v>
                </c:pt>
                <c:pt idx="3">
                  <c:v>23.759169999999997</c:v>
                </c:pt>
                <c:pt idx="4">
                  <c:v>23.720800000000001</c:v>
                </c:pt>
                <c:pt idx="5">
                  <c:v>23.484580000000001</c:v>
                </c:pt>
                <c:pt idx="6">
                  <c:v>22.849610000000002</c:v>
                </c:pt>
                <c:pt idx="7">
                  <c:v>22.618009999999998</c:v>
                </c:pt>
                <c:pt idx="8">
                  <c:v>21.922779999999999</c:v>
                </c:pt>
                <c:pt idx="9">
                  <c:v>20.814350000000001</c:v>
                </c:pt>
              </c:numCache>
            </c:numRef>
          </c:val>
          <c:smooth val="0"/>
          <c:extLst>
            <c:ext xmlns:c16="http://schemas.microsoft.com/office/drawing/2014/chart" uri="{C3380CC4-5D6E-409C-BE32-E72D297353CC}">
              <c16:uniqueId val="{00000000-5AF7-4D75-831D-542754E84F72}"/>
            </c:ext>
          </c:extLst>
        </c:ser>
        <c:ser>
          <c:idx val="2"/>
          <c:order val="1"/>
          <c:tx>
            <c:v>Projected data</c:v>
          </c:tx>
          <c:spPr>
            <a:ln w="25400">
              <a:solidFill>
                <a:srgbClr val="3182BD"/>
              </a:solidFill>
              <a:prstDash val="sysDash"/>
            </a:ln>
          </c:spPr>
          <c:marker>
            <c:symbol val="none"/>
          </c:marker>
          <c:val>
            <c:numRef>
              <c:f>'WHS Calculations'!$U$8:$U$42</c:f>
              <c:numCache>
                <c:formatCode>General</c:formatCode>
                <c:ptCount val="35"/>
                <c:pt idx="11" formatCode="0.0">
                  <c:v>19.476242881493743</c:v>
                </c:pt>
                <c:pt idx="12" formatCode="0.0">
                  <c:v>19.102854025369449</c:v>
                </c:pt>
                <c:pt idx="13" formatCode="0.0">
                  <c:v>18.745078413846223</c:v>
                </c:pt>
                <c:pt idx="14" formatCode="0.0">
                  <c:v>18.400953771991052</c:v>
                </c:pt>
                <c:pt idx="15" formatCode="0.0">
                  <c:v>18.069232431205538</c:v>
                </c:pt>
                <c:pt idx="16" formatCode="0.0">
                  <c:v>17.747235647371028</c:v>
                </c:pt>
                <c:pt idx="17" formatCode="0.0">
                  <c:v>17.43253012364827</c:v>
                </c:pt>
                <c:pt idx="18" formatCode="0.0">
                  <c:v>17.127320738659471</c:v>
                </c:pt>
                <c:pt idx="19" formatCode="0.0">
                  <c:v>16.828285427410506</c:v>
                </c:pt>
                <c:pt idx="20" formatCode="0.0">
                  <c:v>16.541795915598311</c:v>
                </c:pt>
                <c:pt idx="21" formatCode="0.0">
                  <c:v>16.264151575422396</c:v>
                </c:pt>
                <c:pt idx="22" formatCode="0.0">
                  <c:v>15.99505464827001</c:v>
                </c:pt>
                <c:pt idx="23" formatCode="0.0">
                  <c:v>15.739068124830419</c:v>
                </c:pt>
                <c:pt idx="24" formatCode="0.0">
                  <c:v>15.497516317213714</c:v>
                </c:pt>
                <c:pt idx="25" formatCode="0.0">
                  <c:v>15.269155411873966</c:v>
                </c:pt>
                <c:pt idx="26" formatCode="0.0">
                  <c:v>15.051605145749884</c:v>
                </c:pt>
                <c:pt idx="27" formatCode="0.0">
                  <c:v>14.843925095608206</c:v>
                </c:pt>
                <c:pt idx="28" formatCode="0.0">
                  <c:v>14.645735419863518</c:v>
                </c:pt>
                <c:pt idx="29" formatCode="0.0">
                  <c:v>14.456891830389162</c:v>
                </c:pt>
                <c:pt idx="30" formatCode="0.0">
                  <c:v>14.276241231236805</c:v>
                </c:pt>
                <c:pt idx="31" formatCode="0.0">
                  <c:v>14.102982040940418</c:v>
                </c:pt>
                <c:pt idx="32" formatCode="0.0">
                  <c:v>13.936602873223503</c:v>
                </c:pt>
                <c:pt idx="33" formatCode="0.0">
                  <c:v>13.776685942708019</c:v>
                </c:pt>
                <c:pt idx="34" formatCode="0.0">
                  <c:v>13.623285886665709</c:v>
                </c:pt>
              </c:numCache>
            </c:numRef>
          </c:val>
          <c:smooth val="0"/>
          <c:extLst>
            <c:ext xmlns:c16="http://schemas.microsoft.com/office/drawing/2014/chart" uri="{C3380CC4-5D6E-409C-BE32-E72D297353CC}">
              <c16:uniqueId val="{00000001-5AF7-4D75-831D-542754E84F72}"/>
            </c:ext>
          </c:extLst>
        </c:ser>
        <c:ser>
          <c:idx val="3"/>
          <c:order val="2"/>
          <c:tx>
            <c:v>2020 target</c:v>
          </c:tx>
          <c:spPr>
            <a:ln>
              <a:noFill/>
            </a:ln>
          </c:spPr>
          <c:marker>
            <c:symbol val="circle"/>
            <c:size val="6"/>
            <c:spPr>
              <a:solidFill>
                <a:srgbClr val="FF0000"/>
              </a:solidFill>
              <a:ln>
                <a:noFill/>
              </a:ln>
            </c:spPr>
          </c:marker>
          <c:val>
            <c:numRef>
              <c:f>'WHS Calculations'!$V$8:$V$42</c:f>
              <c:numCache>
                <c:formatCode>General</c:formatCode>
                <c:ptCount val="35"/>
                <c:pt idx="15">
                  <c:v>16</c:v>
                </c:pt>
              </c:numCache>
            </c:numRef>
          </c:val>
          <c:smooth val="0"/>
          <c:extLst>
            <c:ext xmlns:c16="http://schemas.microsoft.com/office/drawing/2014/chart" uri="{C3380CC4-5D6E-409C-BE32-E72D297353CC}">
              <c16:uniqueId val="{00000002-5AF7-4D75-831D-542754E84F72}"/>
            </c:ext>
          </c:extLst>
        </c:ser>
        <c:ser>
          <c:idx val="1"/>
          <c:order val="3"/>
          <c:tx>
            <c:v>Reference point</c:v>
          </c:tx>
          <c:marker>
            <c:symbol val="square"/>
            <c:size val="7"/>
            <c:spPr>
              <a:solidFill>
                <a:srgbClr val="3182BD"/>
              </a:solidFill>
              <a:ln>
                <a:solidFill>
                  <a:srgbClr val="3182BD"/>
                </a:solidFill>
              </a:ln>
            </c:spPr>
          </c:marker>
          <c:val>
            <c:numRef>
              <c:f>'WHS Calculations'!$T$8:$T$42</c:f>
              <c:numCache>
                <c:formatCode>0.0</c:formatCode>
                <c:ptCount val="35"/>
                <c:pt idx="10">
                  <c:v>19.90136</c:v>
                </c:pt>
              </c:numCache>
            </c:numRef>
          </c:val>
          <c:smooth val="0"/>
          <c:extLst>
            <c:ext xmlns:c16="http://schemas.microsoft.com/office/drawing/2014/chart" uri="{C3380CC4-5D6E-409C-BE32-E72D297353CC}">
              <c16:uniqueId val="{00000003-5AF7-4D75-831D-542754E84F72}"/>
            </c:ext>
          </c:extLst>
        </c:ser>
        <c:dLbls>
          <c:showLegendKey val="0"/>
          <c:showVal val="0"/>
          <c:showCatName val="0"/>
          <c:showSerName val="0"/>
          <c:showPercent val="0"/>
          <c:showBubbleSize val="0"/>
        </c:dLbls>
        <c:smooth val="0"/>
        <c:axId val="94972544"/>
        <c:axId val="123333248"/>
      </c:lineChart>
      <c:catAx>
        <c:axId val="94972544"/>
        <c:scaling>
          <c:orientation val="minMax"/>
        </c:scaling>
        <c:delete val="0"/>
        <c:axPos val="b"/>
        <c:numFmt formatCode="General" sourceLinked="0"/>
        <c:majorTickMark val="none"/>
        <c:minorTickMark val="none"/>
        <c:tickLblPos val="nextTo"/>
        <c:spPr>
          <a:ln>
            <a:solidFill>
              <a:srgbClr val="7F7F7F"/>
            </a:solidFill>
          </a:ln>
        </c:spPr>
        <c:txPr>
          <a:bodyPr rot="-5400000" vert="horz"/>
          <a:lstStyle/>
          <a:p>
            <a:pPr>
              <a:defRPr sz="900">
                <a:latin typeface="Verdana" pitchFamily="34" charset="0"/>
                <a:ea typeface="Verdana" pitchFamily="34" charset="0"/>
                <a:cs typeface="Verdana" pitchFamily="34" charset="0"/>
              </a:defRPr>
            </a:pPr>
            <a:endParaRPr lang="en-US"/>
          </a:p>
        </c:txPr>
        <c:crossAx val="123333248"/>
        <c:crosses val="autoZero"/>
        <c:auto val="1"/>
        <c:lblAlgn val="ctr"/>
        <c:lblOffset val="100"/>
        <c:noMultiLvlLbl val="0"/>
      </c:catAx>
      <c:valAx>
        <c:axId val="123333248"/>
        <c:scaling>
          <c:orientation val="minMax"/>
          <c:max val="30"/>
        </c:scaling>
        <c:delete val="0"/>
        <c:axPos val="l"/>
        <c:majorGridlines>
          <c:spPr>
            <a:ln>
              <a:solidFill>
                <a:srgbClr val="BFBFBF"/>
              </a:solidFill>
            </a:ln>
          </c:spPr>
        </c:majorGridlines>
        <c:numFmt formatCode="0" sourceLinked="0"/>
        <c:majorTickMark val="none"/>
        <c:minorTickMark val="none"/>
        <c:tickLblPos val="nextTo"/>
        <c:spPr>
          <a:ln>
            <a:solidFill>
              <a:srgbClr val="7F7F7F"/>
            </a:solidFill>
          </a:ln>
        </c:spPr>
        <c:txPr>
          <a:bodyPr/>
          <a:lstStyle/>
          <a:p>
            <a:pPr>
              <a:defRPr sz="900">
                <a:latin typeface="Verdana" pitchFamily="34" charset="0"/>
                <a:ea typeface="Verdana" pitchFamily="34" charset="0"/>
                <a:cs typeface="Verdana" pitchFamily="34" charset="0"/>
              </a:defRPr>
            </a:pPr>
            <a:endParaRPr lang="en-US"/>
          </a:p>
        </c:txPr>
        <c:crossAx val="94972544"/>
        <c:crosses val="autoZero"/>
        <c:crossBetween val="between"/>
      </c:valAx>
    </c:plotArea>
    <c:plotVisOnly val="1"/>
    <c:dispBlanksAs val="gap"/>
    <c:showDLblsOverMax val="0"/>
  </c:chart>
  <c:spPr>
    <a:ln>
      <a:noFill/>
    </a:ln>
  </c:spPr>
  <c:printSettings>
    <c:headerFooter/>
    <c:pageMargins b="0.7500000000000101" l="0.70000000000000062" r="0.70000000000000062" t="0.7500000000000101" header="0.30000000000000032" footer="0.30000000000000032"/>
    <c:pageSetup orientation="portrait"/>
  </c:printSettings>
  <c:userShapes r:id="rId1"/>
</c:chartSpace>
</file>

<file path=xl/ctrlProps/ctrlProp1.xml><?xml version="1.0" encoding="utf-8"?>
<formControlPr xmlns="http://schemas.microsoft.com/office/spreadsheetml/2009/9/main" objectType="Drop" dropLines="35" dropStyle="combo" dx="16" fmlaLink="'NSW Controls'!$J$10" fmlaRange="'NSW Controls'!$I$13:$I$47" noThreeD="1" sel="18" val="0"/>
</file>

<file path=xl/ctrlProps/ctrlProp10.xml><?xml version="1.0" encoding="utf-8"?>
<formControlPr xmlns="http://schemas.microsoft.com/office/spreadsheetml/2009/9/main" objectType="Drop" dropLines="41" dropStyle="combo" dx="16" fmlaLink="'WHS Controls'!$M$10" fmlaRange="'WHS Controls'!$L$13:$L$53" noThreeD="1" sel="21" val="0"/>
</file>

<file path=xl/ctrlProps/ctrlProp11.xml><?xml version="1.0" encoding="utf-8"?>
<formControlPr xmlns="http://schemas.microsoft.com/office/spreadsheetml/2009/9/main" objectType="Drop" dropLines="40" dropStyle="combo" dx="16" fmlaLink="'WHS Controls'!$G$10" fmlaRange="'WHS Controls'!$F$13:$F$58" noThreeD="1" sel="21" val="0"/>
</file>

<file path=xl/ctrlProps/ctrlProp12.xml><?xml version="1.0" encoding="utf-8"?>
<formControlPr xmlns="http://schemas.microsoft.com/office/spreadsheetml/2009/9/main" objectType="Drop" dropLines="21" dropStyle="combo" dx="16" fmlaLink="'WHS Controls'!$V$10" fmlaRange="'WHS Controls'!$U$13:$U$33" noThreeD="1" sel="11" val="0"/>
</file>

<file path=xl/ctrlProps/ctrlProp13.xml><?xml version="1.0" encoding="utf-8"?>
<formControlPr xmlns="http://schemas.microsoft.com/office/spreadsheetml/2009/9/main" objectType="Drop" dropLines="21" dropStyle="combo" dx="16" fmlaLink="'WHS Controls'!$S$10" fmlaRange="'WHS Controls'!$R$13:$R$33" noThreeD="1" sel="11" val="0"/>
</file>

<file path=xl/ctrlProps/ctrlProp14.xml><?xml version="1.0" encoding="utf-8"?>
<formControlPr xmlns="http://schemas.microsoft.com/office/spreadsheetml/2009/9/main" objectType="Drop" dropLines="17" dropStyle="combo" dx="16" fmlaLink="'WHS Controls'!$P$10" fmlaRange="'WHS Controls'!$O$13:$O$29" noThreeD="1" sel="9" val="0"/>
</file>

<file path=xl/ctrlProps/ctrlProp15.xml><?xml version="1.0" encoding="utf-8"?>
<formControlPr xmlns="http://schemas.microsoft.com/office/spreadsheetml/2009/9/main" objectType="Drop" dropLines="22" dropStyle="combo" dx="16" fmlaLink="'WHS Controls'!$P$39" fmlaRange="'WHS Controls'!$O$42:$O$62" noThreeD="1" sel="10" val="0"/>
</file>

<file path=xl/ctrlProps/ctrlProp16.xml><?xml version="1.0" encoding="utf-8"?>
<formControlPr xmlns="http://schemas.microsoft.com/office/spreadsheetml/2009/9/main" objectType="Drop" dropStyle="combo" dx="16" fmlaLink="'WHS Controls'!$B$10" fmlaRange="'WHS Controls'!$A$13:$A$20" noThreeD="1" sel="1" val="0"/>
</file>

<file path=xl/ctrlProps/ctrlProp2.xml><?xml version="1.0" encoding="utf-8"?>
<formControlPr xmlns="http://schemas.microsoft.com/office/spreadsheetml/2009/9/main" objectType="Drop" dropLines="41" dropStyle="combo" dx="16" fmlaLink="'NSW Controls'!$M$10" fmlaRange="'NSW Controls'!$L$13:$L$53" noThreeD="1" sel="21" val="0"/>
</file>

<file path=xl/ctrlProps/ctrlProp3.xml><?xml version="1.0" encoding="utf-8"?>
<formControlPr xmlns="http://schemas.microsoft.com/office/spreadsheetml/2009/9/main" objectType="Drop" dropLines="40" dropStyle="combo" dx="16" fmlaLink="'NSW Controls'!$G$10" fmlaRange="'NSW Controls'!$F$13:$F$58" noThreeD="1" sel="21" val="0"/>
</file>

<file path=xl/ctrlProps/ctrlProp4.xml><?xml version="1.0" encoding="utf-8"?>
<formControlPr xmlns="http://schemas.microsoft.com/office/spreadsheetml/2009/9/main" objectType="Drop" dropLines="21" dropStyle="combo" dx="16" fmlaLink="'NSW Controls'!$V$10" fmlaRange="'NSW Controls'!$U$13:$U$33" noThreeD="1" sel="11" val="0"/>
</file>

<file path=xl/ctrlProps/ctrlProp5.xml><?xml version="1.0" encoding="utf-8"?>
<formControlPr xmlns="http://schemas.microsoft.com/office/spreadsheetml/2009/9/main" objectType="Drop" dropLines="21" dropStyle="combo" dx="16" fmlaLink="'NSW Controls'!$S$10" fmlaRange="'NSW Controls'!$R$13:$R$33" noThreeD="1" sel="11" val="0"/>
</file>

<file path=xl/ctrlProps/ctrlProp6.xml><?xml version="1.0" encoding="utf-8"?>
<formControlPr xmlns="http://schemas.microsoft.com/office/spreadsheetml/2009/9/main" objectType="Drop" dropLines="17" dropStyle="combo" dx="16" fmlaLink="'NSW Controls'!$P$10" fmlaRange="'NSW Controls'!$O$13:$O$29" noThreeD="1" sel="9" val="0"/>
</file>

<file path=xl/ctrlProps/ctrlProp7.xml><?xml version="1.0" encoding="utf-8"?>
<formControlPr xmlns="http://schemas.microsoft.com/office/spreadsheetml/2009/9/main" objectType="Drop" dropLines="22" dropStyle="combo" dx="16" fmlaLink="'NSW Controls'!$P$39" fmlaRange="'NSW Controls'!$O$42:$O$62" noThreeD="1" sel="10" val="0"/>
</file>

<file path=xl/ctrlProps/ctrlProp8.xml><?xml version="1.0" encoding="utf-8"?>
<formControlPr xmlns="http://schemas.microsoft.com/office/spreadsheetml/2009/9/main" objectType="Drop" dropStyle="combo" dx="16" fmlaLink="'NSW Controls'!$B$10" fmlaRange="'NSW Controls'!$A$13:$A$20" noThreeD="1" sel="1" val="0"/>
</file>

<file path=xl/ctrlProps/ctrlProp9.xml><?xml version="1.0" encoding="utf-8"?>
<formControlPr xmlns="http://schemas.microsoft.com/office/spreadsheetml/2009/9/main" objectType="Drop" dropLines="35" dropStyle="combo" dx="16" fmlaLink="'WHS Controls'!$J$10" fmlaRange="'WHS Controls'!$I$13:$I$47" noThreeD="1" sel="18" val="0"/>
</file>

<file path=xl/drawings/_rels/drawing1.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image" Target="../media/image3.jpeg"/><Relationship Id="rId7" Type="http://schemas.openxmlformats.org/officeDocument/2006/relationships/hyperlink" Target="#TechGuide!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Tab2'!A1"/><Relationship Id="rId5" Type="http://schemas.openxmlformats.org/officeDocument/2006/relationships/hyperlink" Target="#Intro!A1"/><Relationship Id="rId10" Type="http://schemas.openxmlformats.org/officeDocument/2006/relationships/hyperlink" Target="#'WHS output'!A1"/><Relationship Id="rId4" Type="http://schemas.openxmlformats.org/officeDocument/2006/relationships/image" Target="../media/image4.emf"/><Relationship Id="rId9" Type="http://schemas.openxmlformats.org/officeDocument/2006/relationships/hyperlink" Target="#CopyingInstruct!A1"/></Relationships>
</file>

<file path=xl/drawings/_rels/drawing2.xml.rels><?xml version="1.0" encoding="UTF-8" standalone="yes"?>
<Relationships xmlns="http://schemas.openxmlformats.org/package/2006/relationships"><Relationship Id="rId8" Type="http://schemas.openxmlformats.org/officeDocument/2006/relationships/hyperlink" Target="#CopyingInstruct!A1"/><Relationship Id="rId3" Type="http://schemas.openxmlformats.org/officeDocument/2006/relationships/image" Target="../media/image5.emf"/><Relationship Id="rId7" Type="http://schemas.openxmlformats.org/officeDocument/2006/relationships/hyperlink" Target="#InterpretGuide!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TechGuide!A1"/><Relationship Id="rId5" Type="http://schemas.openxmlformats.org/officeDocument/2006/relationships/hyperlink" Target="#'Tab2'!A1"/><Relationship Id="rId10" Type="http://schemas.openxmlformats.org/officeDocument/2006/relationships/chart" Target="../charts/chart1.xml"/><Relationship Id="rId4" Type="http://schemas.openxmlformats.org/officeDocument/2006/relationships/hyperlink" Target="#Intro!A1"/><Relationship Id="rId9" Type="http://schemas.openxmlformats.org/officeDocument/2006/relationships/hyperlink" Target="#'WHS output'!A1"/></Relationships>
</file>

<file path=xl/drawings/_rels/drawing4.xml.rels><?xml version="1.0" encoding="UTF-8" standalone="yes"?>
<Relationships xmlns="http://schemas.openxmlformats.org/package/2006/relationships"><Relationship Id="rId8" Type="http://schemas.openxmlformats.org/officeDocument/2006/relationships/hyperlink" Target="#CopyingInstruct!A1"/><Relationship Id="rId3" Type="http://schemas.openxmlformats.org/officeDocument/2006/relationships/image" Target="../media/image6.emf"/><Relationship Id="rId7" Type="http://schemas.openxmlformats.org/officeDocument/2006/relationships/hyperlink" Target="#InterpretGuide!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TechGuide!A1"/><Relationship Id="rId5" Type="http://schemas.openxmlformats.org/officeDocument/2006/relationships/hyperlink" Target="#'Tab2'!A1"/><Relationship Id="rId10" Type="http://schemas.openxmlformats.org/officeDocument/2006/relationships/chart" Target="../charts/chart2.xml"/><Relationship Id="rId4" Type="http://schemas.openxmlformats.org/officeDocument/2006/relationships/hyperlink" Target="#Intro!A1"/><Relationship Id="rId9" Type="http://schemas.openxmlformats.org/officeDocument/2006/relationships/hyperlink" Target="#'WHS output'!A1"/></Relationships>
</file>

<file path=xl/drawings/_rels/drawing6.xml.rels><?xml version="1.0" encoding="UTF-8" standalone="yes"?>
<Relationships xmlns="http://schemas.openxmlformats.org/package/2006/relationships"><Relationship Id="rId8" Type="http://schemas.openxmlformats.org/officeDocument/2006/relationships/hyperlink" Target="#CopyingInstruct!A1"/><Relationship Id="rId3" Type="http://schemas.openxmlformats.org/officeDocument/2006/relationships/image" Target="../media/image7.emf"/><Relationship Id="rId7" Type="http://schemas.openxmlformats.org/officeDocument/2006/relationships/hyperlink" Target="#InterpretGuide!A1"/><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hyperlink" Target="#TechGuide!A1"/><Relationship Id="rId5" Type="http://schemas.openxmlformats.org/officeDocument/2006/relationships/hyperlink" Target="#'Tab2'!A1"/><Relationship Id="rId4" Type="http://schemas.openxmlformats.org/officeDocument/2006/relationships/hyperlink" Target="#Intro!A1"/><Relationship Id="rId9" Type="http://schemas.openxmlformats.org/officeDocument/2006/relationships/hyperlink" Target="#'WHS output'!A1"/></Relationships>
</file>

<file path=xl/drawings/_rels/drawing7.xml.rels><?xml version="1.0" encoding="UTF-8" standalone="yes"?>
<Relationships xmlns="http://schemas.openxmlformats.org/package/2006/relationships"><Relationship Id="rId8" Type="http://schemas.openxmlformats.org/officeDocument/2006/relationships/hyperlink" Target="#TechGuide!A1"/><Relationship Id="rId3" Type="http://schemas.openxmlformats.org/officeDocument/2006/relationships/image" Target="../media/image1.emf"/><Relationship Id="rId7" Type="http://schemas.openxmlformats.org/officeDocument/2006/relationships/hyperlink" Target="#'Tab2'!A1"/><Relationship Id="rId12" Type="http://schemas.openxmlformats.org/officeDocument/2006/relationships/image" Target="../media/image11.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hyperlink" Target="#Intro!A1"/><Relationship Id="rId11" Type="http://schemas.openxmlformats.org/officeDocument/2006/relationships/hyperlink" Target="#'WHS output'!A1"/><Relationship Id="rId5" Type="http://schemas.openxmlformats.org/officeDocument/2006/relationships/image" Target="../media/image10.emf"/><Relationship Id="rId10" Type="http://schemas.openxmlformats.org/officeDocument/2006/relationships/hyperlink" Target="#CopyingInstruct!A1"/><Relationship Id="rId4" Type="http://schemas.openxmlformats.org/officeDocument/2006/relationships/image" Target="../media/image2.jpeg"/><Relationship Id="rId9" Type="http://schemas.openxmlformats.org/officeDocument/2006/relationships/hyperlink" Target="#InterpretGuide!A1"/></Relationships>
</file>

<file path=xl/drawings/_rels/drawing8.xml.rels><?xml version="1.0" encoding="UTF-8" standalone="yes"?>
<Relationships xmlns="http://schemas.openxmlformats.org/package/2006/relationships"><Relationship Id="rId8" Type="http://schemas.openxmlformats.org/officeDocument/2006/relationships/hyperlink" Target="#Intro!A1"/><Relationship Id="rId13" Type="http://schemas.openxmlformats.org/officeDocument/2006/relationships/hyperlink" Target="#'WHS output'!A1"/><Relationship Id="rId3" Type="http://schemas.openxmlformats.org/officeDocument/2006/relationships/image" Target="../media/image14.png"/><Relationship Id="rId7" Type="http://schemas.openxmlformats.org/officeDocument/2006/relationships/image" Target="../media/image16.emf"/><Relationship Id="rId12" Type="http://schemas.openxmlformats.org/officeDocument/2006/relationships/hyperlink" Target="#CopyingInstruct!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2.jpeg"/><Relationship Id="rId11" Type="http://schemas.openxmlformats.org/officeDocument/2006/relationships/hyperlink" Target="#InterpretGuide!A1"/><Relationship Id="rId5" Type="http://schemas.openxmlformats.org/officeDocument/2006/relationships/image" Target="../media/image1.emf"/><Relationship Id="rId10" Type="http://schemas.openxmlformats.org/officeDocument/2006/relationships/hyperlink" Target="#TechGuide!A1"/><Relationship Id="rId4" Type="http://schemas.openxmlformats.org/officeDocument/2006/relationships/image" Target="../media/image15.png"/><Relationship Id="rId9" Type="http://schemas.openxmlformats.org/officeDocument/2006/relationships/hyperlink" Target="#'Tab2'!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571500</xdr:colOff>
      <xdr:row>5</xdr:row>
      <xdr:rowOff>28575</xdr:rowOff>
    </xdr:to>
    <xdr:grpSp>
      <xdr:nvGrpSpPr>
        <xdr:cNvPr id="16" name="Group 15"/>
        <xdr:cNvGrpSpPr/>
      </xdr:nvGrpSpPr>
      <xdr:grpSpPr>
        <a:xfrm>
          <a:off x="0" y="0"/>
          <a:ext cx="14497050" cy="981075"/>
          <a:chOff x="0" y="0"/>
          <a:chExt cx="14497050" cy="981075"/>
        </a:xfrm>
      </xdr:grpSpPr>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3" name="Picture 2"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1</xdr:col>
      <xdr:colOff>5743574</xdr:colOff>
      <xdr:row>8</xdr:row>
      <xdr:rowOff>0</xdr:rowOff>
    </xdr:from>
    <xdr:to>
      <xdr:col>7</xdr:col>
      <xdr:colOff>425476</xdr:colOff>
      <xdr:row>16</xdr:row>
      <xdr:rowOff>19050</xdr:rowOff>
    </xdr:to>
    <xdr:pic>
      <xdr:nvPicPr>
        <xdr:cNvPr id="13" name="Picture 12" descr="HandsBreakingACigarette_iStock_000014362587Large.jpg"/>
        <xdr:cNvPicPr>
          <a:picLocks noChangeAspect="1"/>
        </xdr:cNvPicPr>
      </xdr:nvPicPr>
      <xdr:blipFill>
        <a:blip xmlns:r="http://schemas.openxmlformats.org/officeDocument/2006/relationships" r:embed="rId3" cstate="print"/>
        <a:stretch>
          <a:fillRect/>
        </a:stretch>
      </xdr:blipFill>
      <xdr:spPr>
        <a:xfrm>
          <a:off x="6000749" y="1562100"/>
          <a:ext cx="3473477" cy="2209800"/>
        </a:xfrm>
        <a:prstGeom prst="rect">
          <a:avLst/>
        </a:prstGeom>
      </xdr:spPr>
    </xdr:pic>
    <xdr:clientData/>
  </xdr:twoCellAnchor>
  <xdr:twoCellAnchor editAs="absolute">
    <xdr:from>
      <xdr:col>0</xdr:col>
      <xdr:colOff>0</xdr:colOff>
      <xdr:row>5</xdr:row>
      <xdr:rowOff>0</xdr:rowOff>
    </xdr:from>
    <xdr:to>
      <xdr:col>15</xdr:col>
      <xdr:colOff>571500</xdr:colOff>
      <xdr:row>7</xdr:row>
      <xdr:rowOff>28575</xdr:rowOff>
    </xdr:to>
    <xdr:pic>
      <xdr:nvPicPr>
        <xdr:cNvPr id="14"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2500"/>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28575</xdr:colOff>
      <xdr:row>5</xdr:row>
      <xdr:rowOff>76200</xdr:rowOff>
    </xdr:from>
    <xdr:to>
      <xdr:col>5</xdr:col>
      <xdr:colOff>15300</xdr:colOff>
      <xdr:row>7</xdr:row>
      <xdr:rowOff>12000</xdr:rowOff>
    </xdr:to>
    <xdr:grpSp>
      <xdr:nvGrpSpPr>
        <xdr:cNvPr id="4" name="Group 3"/>
        <xdr:cNvGrpSpPr/>
      </xdr:nvGrpSpPr>
      <xdr:grpSpPr>
        <a:xfrm>
          <a:off x="285750" y="1028700"/>
          <a:ext cx="7559100" cy="316800"/>
          <a:chOff x="285750" y="1028700"/>
          <a:chExt cx="7559100" cy="316800"/>
        </a:xfrm>
      </xdr:grpSpPr>
      <xdr:sp macro="" textlink="">
        <xdr:nvSpPr>
          <xdr:cNvPr id="17" name="Rectangle 16">
            <a:hlinkClick xmlns:r="http://schemas.openxmlformats.org/officeDocument/2006/relationships" r:id="rId5"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6" tooltip="National Survey for Wales"/>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7" tooltip="Technical guide"/>
          </xdr:cNvPr>
          <xdr:cNvSpPr/>
        </xdr:nvSpPr>
        <xdr:spPr>
          <a:xfrm>
            <a:off x="46291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8" tooltip="Interpretation guide"/>
          </xdr:cNvPr>
          <xdr:cNvSpPr/>
        </xdr:nvSpPr>
        <xdr:spPr>
          <a:xfrm>
            <a:off x="57150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9" tooltip="How to copy charts &amp; tables"/>
          </xdr:cNvPr>
          <xdr:cNvSpPr/>
        </xdr:nvSpPr>
        <xdr:spPr>
          <a:xfrm>
            <a:off x="68008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10" tooltip="Welsh Health Survey"/>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17</xdr:col>
      <xdr:colOff>247650</xdr:colOff>
      <xdr:row>5</xdr:row>
      <xdr:rowOff>28575</xdr:rowOff>
    </xdr:to>
    <xdr:grpSp>
      <xdr:nvGrpSpPr>
        <xdr:cNvPr id="25" name="Group 24"/>
        <xdr:cNvGrpSpPr/>
      </xdr:nvGrpSpPr>
      <xdr:grpSpPr>
        <a:xfrm>
          <a:off x="0" y="0"/>
          <a:ext cx="14497050" cy="981075"/>
          <a:chOff x="0" y="0"/>
          <a:chExt cx="14497050" cy="981075"/>
        </a:xfrm>
      </xdr:grpSpPr>
      <xdr:pic>
        <xdr:nvPicPr>
          <xdr:cNvPr id="26" name="Picture 2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7" name="Picture 26"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xdr:from>
      <xdr:col>1</xdr:col>
      <xdr:colOff>9526</xdr:colOff>
      <xdr:row>11</xdr:row>
      <xdr:rowOff>0</xdr:rowOff>
    </xdr:from>
    <xdr:to>
      <xdr:col>6</xdr:col>
      <xdr:colOff>1</xdr:colOff>
      <xdr:row>16</xdr:row>
      <xdr:rowOff>76200</xdr:rowOff>
    </xdr:to>
    <xdr:sp macro="" textlink="">
      <xdr:nvSpPr>
        <xdr:cNvPr id="15" name="Rectangle 14"/>
        <xdr:cNvSpPr/>
      </xdr:nvSpPr>
      <xdr:spPr>
        <a:xfrm>
          <a:off x="276226" y="2076450"/>
          <a:ext cx="6057900" cy="1247775"/>
        </a:xfrm>
        <a:prstGeom prst="rect">
          <a:avLst/>
        </a:prstGeom>
        <a:noFill/>
        <a:ln w="12700">
          <a:solidFill>
            <a:srgbClr val="0851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mc:AlternateContent xmlns:mc="http://schemas.openxmlformats.org/markup-compatibility/2006">
    <mc:Choice xmlns:a14="http://schemas.microsoft.com/office/drawing/2010/main" Requires="a14">
      <xdr:twoCellAnchor editAs="absolute">
        <xdr:from>
          <xdr:col>3</xdr:col>
          <xdr:colOff>95250</xdr:colOff>
          <xdr:row>12</xdr:row>
          <xdr:rowOff>9525</xdr:rowOff>
        </xdr:from>
        <xdr:to>
          <xdr:col>3</xdr:col>
          <xdr:colOff>1247775</xdr:colOff>
          <xdr:row>13</xdr:row>
          <xdr:rowOff>0</xdr:rowOff>
        </xdr:to>
        <xdr:sp macro="" textlink="">
          <xdr:nvSpPr>
            <xdr:cNvPr id="8195" name="Drop Down 3" hidden="1">
              <a:extLst>
                <a:ext uri="{63B3BB69-23CF-44E3-9099-C40C66FF867C}">
                  <a14:compatExt spid="_x0000_s8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13</xdr:row>
          <xdr:rowOff>19050</xdr:rowOff>
        </xdr:from>
        <xdr:to>
          <xdr:col>3</xdr:col>
          <xdr:colOff>1247775</xdr:colOff>
          <xdr:row>14</xdr:row>
          <xdr:rowOff>9525</xdr:rowOff>
        </xdr:to>
        <xdr:sp macro="" textlink="">
          <xdr:nvSpPr>
            <xdr:cNvPr id="8196" name="Drop Down 4" hidden="1">
              <a:extLst>
                <a:ext uri="{63B3BB69-23CF-44E3-9099-C40C66FF867C}">
                  <a14:compatExt spid="_x0000_s8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14</xdr:row>
          <xdr:rowOff>28575</xdr:rowOff>
        </xdr:from>
        <xdr:to>
          <xdr:col>3</xdr:col>
          <xdr:colOff>1247775</xdr:colOff>
          <xdr:row>15</xdr:row>
          <xdr:rowOff>19050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12</xdr:row>
          <xdr:rowOff>9525</xdr:rowOff>
        </xdr:from>
        <xdr:to>
          <xdr:col>5</xdr:col>
          <xdr:colOff>19050</xdr:colOff>
          <xdr:row>13</xdr:row>
          <xdr:rowOff>0</xdr:rowOff>
        </xdr:to>
        <xdr:sp macro="" textlink="">
          <xdr:nvSpPr>
            <xdr:cNvPr id="8198" name="Drop Down 6" hidden="1">
              <a:extLst>
                <a:ext uri="{63B3BB69-23CF-44E3-9099-C40C66FF867C}">
                  <a14:compatExt spid="_x0000_s8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13</xdr:row>
          <xdr:rowOff>19050</xdr:rowOff>
        </xdr:from>
        <xdr:to>
          <xdr:col>5</xdr:col>
          <xdr:colOff>19050</xdr:colOff>
          <xdr:row>14</xdr:row>
          <xdr:rowOff>9525</xdr:rowOff>
        </xdr:to>
        <xdr:sp macro="" textlink="">
          <xdr:nvSpPr>
            <xdr:cNvPr id="8199" name="Drop Down 7" hidden="1">
              <a:extLst>
                <a:ext uri="{63B3BB69-23CF-44E3-9099-C40C66FF867C}">
                  <a14:compatExt spid="_x0000_s8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14</xdr:row>
          <xdr:rowOff>28575</xdr:rowOff>
        </xdr:from>
        <xdr:to>
          <xdr:col>5</xdr:col>
          <xdr:colOff>19050</xdr:colOff>
          <xdr:row>15</xdr:row>
          <xdr:rowOff>19050</xdr:rowOff>
        </xdr:to>
        <xdr:sp macro="" textlink="">
          <xdr:nvSpPr>
            <xdr:cNvPr id="8200" name="Drop Down 8" hidden="1">
              <a:extLst>
                <a:ext uri="{63B3BB69-23CF-44E3-9099-C40C66FF867C}">
                  <a14:compatExt spid="_x0000_s8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171450</xdr:colOff>
          <xdr:row>14</xdr:row>
          <xdr:rowOff>28575</xdr:rowOff>
        </xdr:from>
        <xdr:to>
          <xdr:col>5</xdr:col>
          <xdr:colOff>1323975</xdr:colOff>
          <xdr:row>15</xdr:row>
          <xdr:rowOff>19050</xdr:rowOff>
        </xdr:to>
        <xdr:sp macro="" textlink="">
          <xdr:nvSpPr>
            <xdr:cNvPr id="8201" name="Drop Down 9" hidden="1">
              <a:extLst>
                <a:ext uri="{63B3BB69-23CF-44E3-9099-C40C66FF867C}">
                  <a14:compatExt spid="_x0000_s8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8</xdr:row>
          <xdr:rowOff>0</xdr:rowOff>
        </xdr:from>
        <xdr:to>
          <xdr:col>3</xdr:col>
          <xdr:colOff>952500</xdr:colOff>
          <xdr:row>9</xdr:row>
          <xdr:rowOff>9525</xdr:rowOff>
        </xdr:to>
        <xdr:sp macro="" textlink="">
          <xdr:nvSpPr>
            <xdr:cNvPr id="8203" name="Drop Down 11" hidden="1">
              <a:extLst>
                <a:ext uri="{63B3BB69-23CF-44E3-9099-C40C66FF867C}">
                  <a14:compatExt spid="_x0000_s8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5</xdr:row>
      <xdr:rowOff>10026</xdr:rowOff>
    </xdr:from>
    <xdr:to>
      <xdr:col>17</xdr:col>
      <xdr:colOff>247650</xdr:colOff>
      <xdr:row>7</xdr:row>
      <xdr:rowOff>28575</xdr:rowOff>
    </xdr:to>
    <xdr:pic>
      <xdr:nvPicPr>
        <xdr:cNvPr id="24" name="Picture 2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448"/>
        <a:stretch/>
      </xdr:blipFill>
      <xdr:spPr bwMode="auto">
        <a:xfrm>
          <a:off x="0" y="962526"/>
          <a:ext cx="14520111" cy="399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19050</xdr:colOff>
      <xdr:row>5</xdr:row>
      <xdr:rowOff>76200</xdr:rowOff>
    </xdr:from>
    <xdr:to>
      <xdr:col>8</xdr:col>
      <xdr:colOff>291525</xdr:colOff>
      <xdr:row>7</xdr:row>
      <xdr:rowOff>12000</xdr:rowOff>
    </xdr:to>
    <xdr:grpSp>
      <xdr:nvGrpSpPr>
        <xdr:cNvPr id="2" name="Group 1"/>
        <xdr:cNvGrpSpPr/>
      </xdr:nvGrpSpPr>
      <xdr:grpSpPr>
        <a:xfrm>
          <a:off x="285750" y="1028700"/>
          <a:ext cx="7559100" cy="316800"/>
          <a:chOff x="285750" y="1028700"/>
          <a:chExt cx="7559100" cy="316800"/>
        </a:xfrm>
      </xdr:grpSpPr>
      <xdr:sp macro="" textlink="">
        <xdr:nvSpPr>
          <xdr:cNvPr id="35" name="Rectangle 34">
            <a:hlinkClick xmlns:r="http://schemas.openxmlformats.org/officeDocument/2006/relationships" r:id="rId4"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5" tooltip="National Survey for Wales"/>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6" tooltip="Technical guide"/>
          </xdr:cNvPr>
          <xdr:cNvSpPr/>
        </xdr:nvSpPr>
        <xdr:spPr>
          <a:xfrm>
            <a:off x="46291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7" tooltip="Interpretation guide"/>
          </xdr:cNvPr>
          <xdr:cNvSpPr/>
        </xdr:nvSpPr>
        <xdr:spPr>
          <a:xfrm>
            <a:off x="57150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8" tooltip="How to copy charts &amp; tables"/>
          </xdr:cNvPr>
          <xdr:cNvSpPr/>
        </xdr:nvSpPr>
        <xdr:spPr>
          <a:xfrm>
            <a:off x="68008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9" tooltip="Welsh Health Survey"/>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0</xdr:colOff>
      <xdr:row>16</xdr:row>
      <xdr:rowOff>209549</xdr:rowOff>
    </xdr:from>
    <xdr:to>
      <xdr:col>9</xdr:col>
      <xdr:colOff>171450</xdr:colOff>
      <xdr:row>40</xdr:row>
      <xdr:rowOff>1424</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1.23951E-7</cdr:x>
      <cdr:y>0.10526</cdr:y>
    </cdr:from>
    <cdr:to>
      <cdr:x>0.03367</cdr:x>
      <cdr:y>0.80365</cdr:y>
    </cdr:to>
    <cdr:sp macro="" textlink="">
      <cdr:nvSpPr>
        <cdr:cNvPr id="12" name="TextBox 11"/>
        <cdr:cNvSpPr txBox="1"/>
      </cdr:nvSpPr>
      <cdr:spPr>
        <a:xfrm xmlns:a="http://schemas.openxmlformats.org/drawingml/2006/main">
          <a:off x="1" y="516490"/>
          <a:ext cx="271638" cy="3426861"/>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GB" sz="1000">
              <a:latin typeface="Verdana" pitchFamily="34" charset="0"/>
              <a:ea typeface="Verdana" pitchFamily="34" charset="0"/>
              <a:cs typeface="Verdana" pitchFamily="34" charset="0"/>
            </a:rPr>
            <a:t>Estimated smoking prevalence (%)</a:t>
          </a:r>
        </a:p>
      </cdr:txBody>
    </cdr:sp>
  </cdr:relSizeAnchor>
  <cdr:relSizeAnchor xmlns:cdr="http://schemas.openxmlformats.org/drawingml/2006/chartDrawing">
    <cdr:from>
      <cdr:x>0</cdr:x>
      <cdr:y>0.03207</cdr:y>
    </cdr:from>
    <cdr:to>
      <cdr:x>0.997</cdr:x>
      <cdr:y>0.10261</cdr:y>
    </cdr:to>
    <cdr:sp macro="" textlink="">
      <cdr:nvSpPr>
        <cdr:cNvPr id="20" name="TextBox 19"/>
        <cdr:cNvSpPr txBox="1"/>
      </cdr:nvSpPr>
      <cdr:spPr>
        <a:xfrm xmlns:a="http://schemas.openxmlformats.org/drawingml/2006/main">
          <a:off x="0" y="163729"/>
          <a:ext cx="8043472" cy="360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latin typeface="Verdana" pitchFamily="34" charset="0"/>
              <a:ea typeface="Verdana" pitchFamily="34" charset="0"/>
              <a:cs typeface="Verdana" pitchFamily="34" charset="0"/>
            </a:rPr>
            <a:t>Produced by Public Health Wales Observatory, using mid-year estimates &amp; population projections (ONS), HBSC survey &amp; National Survey for Wales (WG)</a:t>
          </a:r>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cdr:y>
    </cdr:from>
    <cdr:to>
      <cdr:x>1</cdr:x>
      <cdr:y>0.08037</cdr:y>
    </cdr:to>
    <cdr:sp macro="" textlink="'NSW Controls'!$B$70">
      <cdr:nvSpPr>
        <cdr:cNvPr id="5" name="TextBox 4"/>
        <cdr:cNvSpPr txBox="1"/>
      </cdr:nvSpPr>
      <cdr:spPr>
        <a:xfrm xmlns:a="http://schemas.openxmlformats.org/drawingml/2006/main">
          <a:off x="0" y="0"/>
          <a:ext cx="8020050" cy="3988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D97A5E3-5B72-43F8-9985-D8F8E5AA7EA1}" type="TxLink">
            <a:rPr lang="en-US" sz="900" b="1" i="0" u="none" strike="noStrike">
              <a:solidFill>
                <a:srgbClr val="000000"/>
              </a:solidFill>
              <a:latin typeface="Verdana"/>
              <a:ea typeface="Verdana"/>
              <a:cs typeface="Verdana"/>
            </a:rPr>
            <a:pPr/>
            <a:t>Estimated smoking prevalence projection, all persons aged 16+, Wales, 2016/17 to 2039</a:t>
          </a:fld>
          <a:endParaRPr lang="en-GB" sz="900" b="1"/>
        </a:p>
      </cdr:txBody>
    </cdr:sp>
  </cdr:relSizeAnchor>
  <cdr:relSizeAnchor xmlns:cdr="http://schemas.openxmlformats.org/drawingml/2006/chartDrawing">
    <cdr:from>
      <cdr:x>0.06627</cdr:x>
      <cdr:y>0.56932</cdr:y>
    </cdr:from>
    <cdr:to>
      <cdr:x>0.42516</cdr:x>
      <cdr:y>0.70697</cdr:y>
    </cdr:to>
    <cdr:grpSp>
      <cdr:nvGrpSpPr>
        <cdr:cNvPr id="23" name="Group 22"/>
        <cdr:cNvGrpSpPr/>
      </cdr:nvGrpSpPr>
      <cdr:grpSpPr>
        <a:xfrm xmlns:a="http://schemas.openxmlformats.org/drawingml/2006/main">
          <a:off x="534645" y="2793539"/>
          <a:ext cx="2895408" cy="675421"/>
          <a:chOff x="610884" y="2072931"/>
          <a:chExt cx="2895429" cy="768965"/>
        </a:xfrm>
        <a:solidFill xmlns:a="http://schemas.openxmlformats.org/drawingml/2006/main">
          <a:sysClr val="window" lastClr="FFFFFF"/>
        </a:solidFill>
      </cdr:grpSpPr>
      <cdr:sp macro="" textlink="">
        <cdr:nvSpPr>
          <cdr:cNvPr id="6" name="TextBox 1"/>
          <cdr:cNvSpPr txBox="1"/>
        </cdr:nvSpPr>
        <cdr:spPr>
          <a:xfrm xmlns:a="http://schemas.openxmlformats.org/drawingml/2006/main">
            <a:off x="610885" y="2072931"/>
            <a:ext cx="1979917" cy="231856"/>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FF0000"/>
                </a:solidFill>
                <a:latin typeface="Verdana" pitchFamily="34" charset="0"/>
              </a:rPr>
              <a:t>National </a:t>
            </a:r>
            <a:r>
              <a:rPr lang="en-GB" sz="900" b="1">
                <a:solidFill>
                  <a:srgbClr val="FF0000"/>
                </a:solidFill>
                <a:latin typeface="Verdana" pitchFamily="34" charset="0"/>
              </a:rPr>
              <a:t>2020</a:t>
            </a:r>
            <a:r>
              <a:rPr lang="en-GB" sz="900" baseline="0">
                <a:solidFill>
                  <a:srgbClr val="FF0000"/>
                </a:solidFill>
                <a:latin typeface="Verdana" pitchFamily="34" charset="0"/>
              </a:rPr>
              <a:t> target: </a:t>
            </a:r>
            <a:r>
              <a:rPr lang="en-GB" sz="900" b="1" baseline="0">
                <a:solidFill>
                  <a:srgbClr val="FF0000"/>
                </a:solidFill>
                <a:latin typeface="Verdana" pitchFamily="34" charset="0"/>
              </a:rPr>
              <a:t>16.0%</a:t>
            </a:r>
            <a:endParaRPr lang="en-GB" sz="900" b="1">
              <a:solidFill>
                <a:srgbClr val="FF0000"/>
              </a:solidFill>
              <a:latin typeface="Verdana" pitchFamily="34" charset="0"/>
            </a:endParaRPr>
          </a:p>
        </cdr:txBody>
      </cdr:sp>
      <cdr:grpSp>
        <cdr:nvGrpSpPr>
          <cdr:cNvPr id="10" name="Group 9"/>
          <cdr:cNvGrpSpPr/>
        </cdr:nvGrpSpPr>
        <cdr:grpSpPr>
          <a:xfrm xmlns:a="http://schemas.openxmlformats.org/drawingml/2006/main">
            <a:off x="610884" y="2316313"/>
            <a:ext cx="1939611" cy="291564"/>
            <a:chOff x="581392" y="2535719"/>
            <a:chExt cx="1905337" cy="283105"/>
          </a:xfrm>
          <a:grpFill xmlns:a="http://schemas.openxmlformats.org/drawingml/2006/main"/>
        </cdr:grpSpPr>
        <cdr:sp macro="" textlink="">
          <cdr:nvSpPr>
            <cdr:cNvPr id="8" name="TextBox 1"/>
            <cdr:cNvSpPr txBox="1"/>
          </cdr:nvSpPr>
          <cdr:spPr>
            <a:xfrm xmlns:a="http://schemas.openxmlformats.org/drawingml/2006/main">
              <a:off x="581392" y="2535719"/>
              <a:ext cx="1604852" cy="249645"/>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000080"/>
                  </a:solidFill>
                  <a:latin typeface="Verdana" pitchFamily="34" charset="0"/>
                </a:rPr>
                <a:t>Projected </a:t>
              </a:r>
              <a:r>
                <a:rPr lang="en-GB" sz="900" b="1">
                  <a:solidFill>
                    <a:srgbClr val="000080"/>
                  </a:solidFill>
                  <a:latin typeface="Verdana" pitchFamily="34" charset="0"/>
                </a:rPr>
                <a:t>2020</a:t>
              </a:r>
              <a:r>
                <a:rPr lang="en-GB" sz="900" baseline="0">
                  <a:solidFill>
                    <a:srgbClr val="000080"/>
                  </a:solidFill>
                  <a:latin typeface="Verdana" pitchFamily="34" charset="0"/>
                </a:rPr>
                <a:t> value: </a:t>
              </a:r>
              <a:endParaRPr lang="en-GB" sz="900" b="1">
                <a:solidFill>
                  <a:srgbClr val="000080"/>
                </a:solidFill>
                <a:latin typeface="Verdana" pitchFamily="34" charset="0"/>
              </a:endParaRPr>
            </a:p>
          </cdr:txBody>
        </cdr:sp>
        <cdr:sp macro="" textlink="'NSW Calculations'!$G$23">
          <cdr:nvSpPr>
            <cdr:cNvPr id="7" name="TextBox 6"/>
            <cdr:cNvSpPr txBox="1"/>
          </cdr:nvSpPr>
          <cdr:spPr>
            <a:xfrm xmlns:a="http://schemas.openxmlformats.org/drawingml/2006/main">
              <a:off x="1957459" y="2544434"/>
              <a:ext cx="400312" cy="2743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18000" rIns="18000" rtlCol="0"/>
            <a:lstStyle xmlns:a="http://schemas.openxmlformats.org/drawingml/2006/main"/>
            <a:p xmlns:a="http://schemas.openxmlformats.org/drawingml/2006/main">
              <a:fld id="{D0346DB5-00E2-48F1-B698-FE2700826863}" type="TxLink">
                <a:rPr lang="en-US" sz="900" b="1" i="0" u="none" strike="noStrike">
                  <a:solidFill>
                    <a:srgbClr val="000080"/>
                  </a:solidFill>
                  <a:latin typeface="Verdana"/>
                  <a:ea typeface="Verdana"/>
                  <a:cs typeface="Verdana"/>
                </a:rPr>
                <a:pPr/>
                <a:t>17.3</a:t>
              </a:fld>
              <a:endParaRPr lang="en-GB" sz="1100" b="1">
                <a:solidFill>
                  <a:srgbClr val="000080"/>
                </a:solidFill>
              </a:endParaRPr>
            </a:p>
          </cdr:txBody>
        </cdr:sp>
        <cdr:sp macro="" textlink="">
          <cdr:nvSpPr>
            <cdr:cNvPr id="9" name="TextBox 8"/>
            <cdr:cNvSpPr txBox="1"/>
          </cdr:nvSpPr>
          <cdr:spPr>
            <a:xfrm xmlns:a="http://schemas.openxmlformats.org/drawingml/2006/main">
              <a:off x="2254529" y="2592543"/>
              <a:ext cx="232200" cy="208843"/>
            </a:xfrm>
            <a:prstGeom xmlns:a="http://schemas.openxmlformats.org/drawingml/2006/main" prst="rect">
              <a:avLst/>
            </a:prstGeom>
            <a:grpFill xmlns:a="http://schemas.openxmlformats.org/drawingml/2006/main"/>
          </cdr:spPr>
          <cdr:txBody>
            <a:bodyPr xmlns:a="http://schemas.openxmlformats.org/drawingml/2006/main" vertOverflow="clip" wrap="square" lIns="0" tIns="0" rIns="0" bIns="0" rtlCol="0"/>
            <a:lstStyle xmlns:a="http://schemas.openxmlformats.org/drawingml/2006/main"/>
            <a:p xmlns:a="http://schemas.openxmlformats.org/drawingml/2006/main">
              <a:r>
                <a:rPr lang="en-GB" sz="900" b="1">
                  <a:solidFill>
                    <a:srgbClr val="000080"/>
                  </a:solidFill>
                  <a:latin typeface="Verdana" pitchFamily="34" charset="0"/>
                  <a:ea typeface="Verdana" pitchFamily="34" charset="0"/>
                  <a:cs typeface="Verdana" pitchFamily="34" charset="0"/>
                </a:rPr>
                <a:t>%</a:t>
              </a:r>
            </a:p>
          </cdr:txBody>
        </cdr:sp>
      </cdr:grpSp>
      <cdr:grpSp>
        <cdr:nvGrpSpPr>
          <cdr:cNvPr id="11" name="Group 10"/>
          <cdr:cNvGrpSpPr/>
        </cdr:nvGrpSpPr>
        <cdr:grpSpPr>
          <a:xfrm xmlns:a="http://schemas.openxmlformats.org/drawingml/2006/main">
            <a:off x="610884" y="2560156"/>
            <a:ext cx="2895429" cy="281740"/>
            <a:chOff x="0" y="0"/>
            <a:chExt cx="2844327" cy="273545"/>
          </a:xfrm>
          <a:grpFill xmlns:a="http://schemas.openxmlformats.org/drawingml/2006/main"/>
        </cdr:grpSpPr>
        <cdr:sp macro="" textlink="">
          <cdr:nvSpPr>
            <cdr:cNvPr id="13" name="TextBox 1"/>
            <cdr:cNvSpPr txBox="1"/>
          </cdr:nvSpPr>
          <cdr:spPr>
            <a:xfrm xmlns:a="http://schemas.openxmlformats.org/drawingml/2006/main">
              <a:off x="0" y="0"/>
              <a:ext cx="1605917" cy="247994"/>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000080"/>
                  </a:solidFill>
                  <a:latin typeface="Verdana" pitchFamily="34" charset="0"/>
                </a:rPr>
                <a:t>Projected </a:t>
              </a:r>
              <a:r>
                <a:rPr lang="en-GB" sz="900" b="1">
                  <a:solidFill>
                    <a:srgbClr val="000080"/>
                  </a:solidFill>
                  <a:latin typeface="Verdana" pitchFamily="34" charset="0"/>
                </a:rPr>
                <a:t>16.0% </a:t>
              </a:r>
              <a:r>
                <a:rPr lang="en-GB" sz="900" b="0">
                  <a:solidFill>
                    <a:srgbClr val="000080"/>
                  </a:solidFill>
                  <a:latin typeface="Verdana" pitchFamily="34" charset="0"/>
                </a:rPr>
                <a:t>year</a:t>
              </a:r>
              <a:r>
                <a:rPr lang="en-GB" sz="900" baseline="0">
                  <a:solidFill>
                    <a:srgbClr val="000080"/>
                  </a:solidFill>
                  <a:latin typeface="Verdana" pitchFamily="34" charset="0"/>
                </a:rPr>
                <a:t>: </a:t>
              </a:r>
              <a:endParaRPr lang="en-GB" sz="900" b="1">
                <a:solidFill>
                  <a:srgbClr val="000080"/>
                </a:solidFill>
                <a:latin typeface="Verdana" pitchFamily="34" charset="0"/>
              </a:endParaRPr>
            </a:p>
          </cdr:txBody>
        </cdr:sp>
        <cdr:sp macro="" textlink="'NSW Calculations'!$X$46">
          <cdr:nvSpPr>
            <cdr:cNvPr id="14" name="TextBox 3"/>
            <cdr:cNvSpPr txBox="1"/>
          </cdr:nvSpPr>
          <cdr:spPr>
            <a:xfrm xmlns:a="http://schemas.openxmlformats.org/drawingml/2006/main">
              <a:off x="1447133" y="971"/>
              <a:ext cx="1397194" cy="27257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18000" rIns="1800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A9BB975-54A9-46CF-ACC4-93730B8E9CE2}" type="TxLink">
                <a:rPr lang="en-US" sz="900" b="1" i="0" u="none" strike="noStrike">
                  <a:solidFill>
                    <a:srgbClr val="000080"/>
                  </a:solidFill>
                  <a:latin typeface="Verdana"/>
                  <a:ea typeface="Verdana"/>
                  <a:cs typeface="Verdana"/>
                </a:rPr>
                <a:pPr/>
                <a:t>2025</a:t>
              </a:fld>
              <a:endParaRPr lang="en-GB" sz="1100" b="1">
                <a:solidFill>
                  <a:srgbClr val="000080"/>
                </a:solidFill>
              </a:endParaRPr>
            </a:p>
          </cdr:txBody>
        </cdr:sp>
      </cdr:grpSp>
    </cdr:grpSp>
  </cdr:relSizeAnchor>
  <cdr:relSizeAnchor xmlns:cdr="http://schemas.openxmlformats.org/drawingml/2006/chartDrawing">
    <cdr:from>
      <cdr:x>0</cdr:x>
      <cdr:y>0</cdr:y>
    </cdr:from>
    <cdr:to>
      <cdr:x>0</cdr:x>
      <cdr:y>0</cdr:y>
    </cdr:to>
    <cdr:sp macro="" textlink="">
      <cdr:nvSpPr>
        <cdr:cNvPr id="22" name="Straight Connector 21"/>
        <cdr:cNvSpPr/>
      </cdr:nvSpPr>
      <cdr:spPr>
        <a:xfrm xmlns:a="http://schemas.openxmlformats.org/drawingml/2006/main">
          <a:off x="-266700" y="-3488871"/>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0.06627</cdr:x>
      <cdr:y>0.72557</cdr:y>
    </cdr:from>
    <cdr:to>
      <cdr:x>0.46989</cdr:x>
      <cdr:y>0.80213</cdr:y>
    </cdr:to>
    <cdr:grpSp>
      <cdr:nvGrpSpPr>
        <cdr:cNvPr id="25" name="Group 24"/>
        <cdr:cNvGrpSpPr/>
      </cdr:nvGrpSpPr>
      <cdr:grpSpPr>
        <a:xfrm xmlns:a="http://schemas.openxmlformats.org/drawingml/2006/main">
          <a:off x="534645" y="3560227"/>
          <a:ext cx="3256275" cy="375664"/>
          <a:chOff x="610884" y="3488686"/>
          <a:chExt cx="3256266" cy="387989"/>
        </a:xfrm>
      </cdr:grpSpPr>
      <cdr:sp macro="" textlink="">
        <cdr:nvSpPr>
          <cdr:cNvPr id="17" name="TextBox 1"/>
          <cdr:cNvSpPr txBox="1"/>
        </cdr:nvSpPr>
        <cdr:spPr>
          <a:xfrm xmlns:a="http://schemas.openxmlformats.org/drawingml/2006/main">
            <a:off x="610884" y="3689706"/>
            <a:ext cx="3256266" cy="18696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9000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baseline="0">
                <a:solidFill>
                  <a:srgbClr val="000080"/>
                </a:solidFill>
                <a:latin typeface="Verdana" pitchFamily="34" charset="0"/>
              </a:rPr>
              <a:t>Trajectory based on user inputs from 2017</a:t>
            </a:r>
            <a:endParaRPr lang="en-GB" sz="900" b="0">
              <a:solidFill>
                <a:srgbClr val="000080"/>
              </a:solidFill>
              <a:latin typeface="Verdana" pitchFamily="34" charset="0"/>
            </a:endParaRPr>
          </a:p>
        </cdr:txBody>
      </cdr:sp>
      <cdr:sp macro="" textlink="">
        <cdr:nvSpPr>
          <cdr:cNvPr id="18" name="TextBox 1"/>
          <cdr:cNvSpPr txBox="1"/>
        </cdr:nvSpPr>
        <cdr:spPr>
          <a:xfrm xmlns:a="http://schemas.openxmlformats.org/drawingml/2006/main">
            <a:off x="610884" y="3488686"/>
            <a:ext cx="3179218" cy="1714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9000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baseline="0">
                <a:solidFill>
                  <a:srgbClr val="000080"/>
                </a:solidFill>
                <a:latin typeface="Verdana" pitchFamily="34" charset="0"/>
              </a:rPr>
              <a:t>National Survey for Wales rate in 2016/17</a:t>
            </a:r>
            <a:endParaRPr lang="en-GB" sz="900" b="0">
              <a:solidFill>
                <a:srgbClr val="000080"/>
              </a:solidFill>
              <a:latin typeface="Verdana" pitchFamily="34" charset="0"/>
            </a:endParaRPr>
          </a:p>
        </cdr:txBody>
      </cdr:sp>
      <cdr:sp macro="" textlink="">
        <cdr:nvSpPr>
          <cdr:cNvPr id="19" name="Diamond 18"/>
          <cdr:cNvSpPr/>
        </cdr:nvSpPr>
        <cdr:spPr>
          <a:xfrm xmlns:a="http://schemas.openxmlformats.org/drawingml/2006/main">
            <a:off x="3541306" y="3516403"/>
            <a:ext cx="93585" cy="93593"/>
          </a:xfrm>
          <a:prstGeom xmlns:a="http://schemas.openxmlformats.org/drawingml/2006/main" prst="diamond">
            <a:avLst/>
          </a:prstGeom>
          <a:solidFill xmlns:a="http://schemas.openxmlformats.org/drawingml/2006/main">
            <a:srgbClr val="6BAEE7"/>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GB" sz="1100"/>
          </a:p>
        </cdr:txBody>
      </cdr:sp>
      <cdr:sp macro="" textlink="">
        <cdr:nvSpPr>
          <cdr:cNvPr id="29" name="Straight Connector 28"/>
          <cdr:cNvSpPr/>
        </cdr:nvSpPr>
        <cdr:spPr>
          <a:xfrm xmlns:a="http://schemas.openxmlformats.org/drawingml/2006/main">
            <a:off x="3426261" y="3769515"/>
            <a:ext cx="323675" cy="0"/>
          </a:xfrm>
          <a:prstGeom xmlns:a="http://schemas.openxmlformats.org/drawingml/2006/main" prst="line">
            <a:avLst/>
          </a:prstGeom>
          <a:ln xmlns:a="http://schemas.openxmlformats.org/drawingml/2006/main" w="25400" cap="rnd">
            <a:solidFill>
              <a:srgbClr val="6BAEE7"/>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en-US"/>
          </a:p>
        </cdr:txBody>
      </cdr:sp>
    </cdr:grpSp>
  </cdr:relSizeAnchor>
  <cdr:relSizeAnchor xmlns:cdr="http://schemas.openxmlformats.org/drawingml/2006/chartDrawing">
    <cdr:from>
      <cdr:x>0.07241</cdr:x>
      <cdr:y>0.10353</cdr:y>
    </cdr:from>
    <cdr:to>
      <cdr:x>0.74262</cdr:x>
      <cdr:y>0.20382</cdr:y>
    </cdr:to>
    <cdr:sp macro="" textlink="">
      <cdr:nvSpPr>
        <cdr:cNvPr id="21" name="TextBox 1"/>
        <cdr:cNvSpPr txBox="1"/>
      </cdr:nvSpPr>
      <cdr:spPr>
        <a:xfrm xmlns:a="http://schemas.openxmlformats.org/drawingml/2006/main">
          <a:off x="584179" y="508001"/>
          <a:ext cx="5407045" cy="492103"/>
        </a:xfrm>
        <a:prstGeom xmlns:a="http://schemas.openxmlformats.org/drawingml/2006/main" prst="rect">
          <a:avLst/>
        </a:prstGeom>
        <a:ln xmlns:a="http://schemas.openxmlformats.org/drawingml/2006/main">
          <a:solidFill>
            <a:srgbClr val="FF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itchFamily="34" charset="0"/>
              <a:ea typeface="Verdana" pitchFamily="34" charset="0"/>
              <a:cs typeface="Verdana" pitchFamily="34" charset="0"/>
            </a:rPr>
            <a:t>The sample size of the</a:t>
          </a:r>
          <a:r>
            <a:rPr lang="en-GB" sz="900" baseline="0">
              <a:latin typeface="Verdana" pitchFamily="34" charset="0"/>
              <a:ea typeface="Verdana" pitchFamily="34" charset="0"/>
              <a:cs typeface="Verdana" pitchFamily="34" charset="0"/>
            </a:rPr>
            <a:t> National Survey for Wales for the single year used here is less than half that of the two year Welsh Health survey sample size used in the alternative version. Therefore the prevalence estimate and projection may be liable to greater sampling error.</a:t>
          </a:r>
          <a:endParaRPr lang="en-GB" sz="900">
            <a:latin typeface="Verdana" pitchFamily="34" charset="0"/>
            <a:ea typeface="Verdana" pitchFamily="34" charset="0"/>
            <a:cs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17</xdr:col>
      <xdr:colOff>247650</xdr:colOff>
      <xdr:row>5</xdr:row>
      <xdr:rowOff>28575</xdr:rowOff>
    </xdr:to>
    <xdr:grpSp>
      <xdr:nvGrpSpPr>
        <xdr:cNvPr id="2" name="Group 1"/>
        <xdr:cNvGrpSpPr/>
      </xdr:nvGrpSpPr>
      <xdr:grpSpPr>
        <a:xfrm>
          <a:off x="0" y="0"/>
          <a:ext cx="14497050" cy="981075"/>
          <a:chOff x="0" y="0"/>
          <a:chExt cx="14497050" cy="981075"/>
        </a:xfrm>
      </xdr:grpSpPr>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xdr:from>
      <xdr:col>1</xdr:col>
      <xdr:colOff>9526</xdr:colOff>
      <xdr:row>11</xdr:row>
      <xdr:rowOff>0</xdr:rowOff>
    </xdr:from>
    <xdr:to>
      <xdr:col>6</xdr:col>
      <xdr:colOff>1</xdr:colOff>
      <xdr:row>16</xdr:row>
      <xdr:rowOff>76200</xdr:rowOff>
    </xdr:to>
    <xdr:sp macro="" textlink="">
      <xdr:nvSpPr>
        <xdr:cNvPr id="12" name="Rectangle 11"/>
        <xdr:cNvSpPr/>
      </xdr:nvSpPr>
      <xdr:spPr>
        <a:xfrm>
          <a:off x="276226" y="2095500"/>
          <a:ext cx="6057900" cy="1247775"/>
        </a:xfrm>
        <a:prstGeom prst="rect">
          <a:avLst/>
        </a:prstGeom>
        <a:noFill/>
        <a:ln w="12700">
          <a:solidFill>
            <a:srgbClr val="0851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mc:AlternateContent xmlns:mc="http://schemas.openxmlformats.org/markup-compatibility/2006">
    <mc:Choice xmlns:a14="http://schemas.microsoft.com/office/drawing/2010/main" Requires="a14">
      <xdr:twoCellAnchor editAs="absolute">
        <xdr:from>
          <xdr:col>3</xdr:col>
          <xdr:colOff>95250</xdr:colOff>
          <xdr:row>12</xdr:row>
          <xdr:rowOff>9525</xdr:rowOff>
        </xdr:from>
        <xdr:to>
          <xdr:col>3</xdr:col>
          <xdr:colOff>1247775</xdr:colOff>
          <xdr:row>13</xdr:row>
          <xdr:rowOff>0</xdr:rowOff>
        </xdr:to>
        <xdr:sp macro="" textlink="">
          <xdr:nvSpPr>
            <xdr:cNvPr id="29697" name="Drop Down 1"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13</xdr:row>
          <xdr:rowOff>19050</xdr:rowOff>
        </xdr:from>
        <xdr:to>
          <xdr:col>3</xdr:col>
          <xdr:colOff>1247775</xdr:colOff>
          <xdr:row>14</xdr:row>
          <xdr:rowOff>9525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95250</xdr:colOff>
          <xdr:row>14</xdr:row>
          <xdr:rowOff>28575</xdr:rowOff>
        </xdr:from>
        <xdr:to>
          <xdr:col>3</xdr:col>
          <xdr:colOff>1247775</xdr:colOff>
          <xdr:row>15</xdr:row>
          <xdr:rowOff>19050</xdr:rowOff>
        </xdr:to>
        <xdr:sp macro="" textlink="">
          <xdr:nvSpPr>
            <xdr:cNvPr id="29699" name="Drop Down 3" hidden="1">
              <a:extLst>
                <a:ext uri="{63B3BB69-23CF-44E3-9099-C40C66FF867C}">
                  <a14:compatExt spid="_x0000_s29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12</xdr:row>
          <xdr:rowOff>9525</xdr:rowOff>
        </xdr:from>
        <xdr:to>
          <xdr:col>5</xdr:col>
          <xdr:colOff>19050</xdr:colOff>
          <xdr:row>13</xdr:row>
          <xdr:rowOff>0</xdr:rowOff>
        </xdr:to>
        <xdr:sp macro="" textlink="">
          <xdr:nvSpPr>
            <xdr:cNvPr id="29700" name="Drop Down 4" hidden="1">
              <a:extLst>
                <a:ext uri="{63B3BB69-23CF-44E3-9099-C40C66FF867C}">
                  <a14:compatExt spid="_x0000_s29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13</xdr:row>
          <xdr:rowOff>19050</xdr:rowOff>
        </xdr:from>
        <xdr:to>
          <xdr:col>5</xdr:col>
          <xdr:colOff>19050</xdr:colOff>
          <xdr:row>14</xdr:row>
          <xdr:rowOff>9525</xdr:rowOff>
        </xdr:to>
        <xdr:sp macro="" textlink="">
          <xdr:nvSpPr>
            <xdr:cNvPr id="29701" name="Drop Down 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95250</xdr:colOff>
          <xdr:row>14</xdr:row>
          <xdr:rowOff>28575</xdr:rowOff>
        </xdr:from>
        <xdr:to>
          <xdr:col>5</xdr:col>
          <xdr:colOff>19050</xdr:colOff>
          <xdr:row>15</xdr:row>
          <xdr:rowOff>19050</xdr:rowOff>
        </xdr:to>
        <xdr:sp macro="" textlink="">
          <xdr:nvSpPr>
            <xdr:cNvPr id="29702" name="Drop Down 6" hidden="1">
              <a:extLst>
                <a:ext uri="{63B3BB69-23CF-44E3-9099-C40C66FF867C}">
                  <a14:compatExt spid="_x0000_s2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171450</xdr:colOff>
          <xdr:row>14</xdr:row>
          <xdr:rowOff>28575</xdr:rowOff>
        </xdr:from>
        <xdr:to>
          <xdr:col>5</xdr:col>
          <xdr:colOff>1323975</xdr:colOff>
          <xdr:row>15</xdr:row>
          <xdr:rowOff>19050</xdr:rowOff>
        </xdr:to>
        <xdr:sp macro="" textlink="">
          <xdr:nvSpPr>
            <xdr:cNvPr id="29703" name="Drop Down 7" hidden="1">
              <a:extLst>
                <a:ext uri="{63B3BB69-23CF-44E3-9099-C40C66FF867C}">
                  <a14:compatExt spid="_x0000_s29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542925</xdr:colOff>
          <xdr:row>8</xdr:row>
          <xdr:rowOff>0</xdr:rowOff>
        </xdr:from>
        <xdr:to>
          <xdr:col>3</xdr:col>
          <xdr:colOff>952500</xdr:colOff>
          <xdr:row>9</xdr:row>
          <xdr:rowOff>9525</xdr:rowOff>
        </xdr:to>
        <xdr:sp macro="" textlink="">
          <xdr:nvSpPr>
            <xdr:cNvPr id="29704" name="Drop Down 8" hidden="1">
              <a:extLst>
                <a:ext uri="{63B3BB69-23CF-44E3-9099-C40C66FF867C}">
                  <a14:compatExt spid="_x0000_s29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0</xdr:col>
      <xdr:colOff>0</xdr:colOff>
      <xdr:row>5</xdr:row>
      <xdr:rowOff>9525</xdr:rowOff>
    </xdr:from>
    <xdr:to>
      <xdr:col>17</xdr:col>
      <xdr:colOff>247650</xdr:colOff>
      <xdr:row>7</xdr:row>
      <xdr:rowOff>28575</xdr:rowOff>
    </xdr:to>
    <xdr:pic>
      <xdr:nvPicPr>
        <xdr:cNvPr id="25" name="Picture 24"/>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26" b="-1"/>
        <a:stretch/>
      </xdr:blipFill>
      <xdr:spPr bwMode="auto">
        <a:xfrm>
          <a:off x="0" y="962025"/>
          <a:ext cx="14497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28575</xdr:colOff>
      <xdr:row>5</xdr:row>
      <xdr:rowOff>76200</xdr:rowOff>
    </xdr:from>
    <xdr:to>
      <xdr:col>8</xdr:col>
      <xdr:colOff>301050</xdr:colOff>
      <xdr:row>7</xdr:row>
      <xdr:rowOff>12000</xdr:rowOff>
    </xdr:to>
    <xdr:grpSp>
      <xdr:nvGrpSpPr>
        <xdr:cNvPr id="13" name="Group 12"/>
        <xdr:cNvGrpSpPr/>
      </xdr:nvGrpSpPr>
      <xdr:grpSpPr>
        <a:xfrm>
          <a:off x="295275" y="1028700"/>
          <a:ext cx="7559100" cy="316800"/>
          <a:chOff x="295275" y="1028700"/>
          <a:chExt cx="7559100" cy="316800"/>
        </a:xfrm>
      </xdr:grpSpPr>
      <xdr:sp macro="" textlink="">
        <xdr:nvSpPr>
          <xdr:cNvPr id="27" name="Rectangle 26">
            <a:hlinkClick xmlns:r="http://schemas.openxmlformats.org/officeDocument/2006/relationships" r:id="rId4" tooltip="Introduction"/>
          </xdr:cNvPr>
          <xdr:cNvSpPr/>
        </xdr:nvSpPr>
        <xdr:spPr>
          <a:xfrm>
            <a:off x="2952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5" tooltip="National Survey for Wales"/>
          </xdr:cNvPr>
          <xdr:cNvSpPr/>
        </xdr:nvSpPr>
        <xdr:spPr>
          <a:xfrm>
            <a:off x="13811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6" tooltip="Technical guide"/>
          </xdr:cNvPr>
          <xdr:cNvSpPr/>
        </xdr:nvSpPr>
        <xdr:spPr>
          <a:xfrm>
            <a:off x="46386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7" tooltip="Interpretation guide"/>
          </xdr:cNvPr>
          <xdr:cNvSpPr/>
        </xdr:nvSpPr>
        <xdr:spPr>
          <a:xfrm>
            <a:off x="57245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8" tooltip="How to copy charts &amp; tables"/>
          </xdr:cNvPr>
          <xdr:cNvSpPr/>
        </xdr:nvSpPr>
        <xdr:spPr>
          <a:xfrm>
            <a:off x="68103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9" tooltip="Welsh Health Survey"/>
          </xdr:cNvPr>
          <xdr:cNvSpPr/>
        </xdr:nvSpPr>
        <xdr:spPr>
          <a:xfrm>
            <a:off x="24669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0</xdr:colOff>
      <xdr:row>16</xdr:row>
      <xdr:rowOff>209549</xdr:rowOff>
    </xdr:from>
    <xdr:to>
      <xdr:col>9</xdr:col>
      <xdr:colOff>171450</xdr:colOff>
      <xdr:row>40</xdr:row>
      <xdr:rowOff>171449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1.26263E-7</cdr:x>
      <cdr:y>0.10526</cdr:y>
    </cdr:from>
    <cdr:to>
      <cdr:x>0.03367</cdr:x>
      <cdr:y>0.78947</cdr:y>
    </cdr:to>
    <cdr:sp macro="" textlink="">
      <cdr:nvSpPr>
        <cdr:cNvPr id="12" name="TextBox 11"/>
        <cdr:cNvSpPr txBox="1"/>
      </cdr:nvSpPr>
      <cdr:spPr>
        <a:xfrm xmlns:a="http://schemas.openxmlformats.org/drawingml/2006/main">
          <a:off x="1" y="514351"/>
          <a:ext cx="266700" cy="33432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GB" sz="1000">
              <a:latin typeface="Verdana" pitchFamily="34" charset="0"/>
              <a:ea typeface="Verdana" pitchFamily="34" charset="0"/>
              <a:cs typeface="Verdana" pitchFamily="34" charset="0"/>
            </a:rPr>
            <a:t>Estimated smoking prevalence (%)</a:t>
          </a:r>
        </a:p>
      </cdr:txBody>
    </cdr:sp>
  </cdr:relSizeAnchor>
  <cdr:relSizeAnchor xmlns:cdr="http://schemas.openxmlformats.org/drawingml/2006/chartDrawing">
    <cdr:from>
      <cdr:x>0</cdr:x>
      <cdr:y>0.02825</cdr:y>
    </cdr:from>
    <cdr:to>
      <cdr:x>0.997</cdr:x>
      <cdr:y>0.08413</cdr:y>
    </cdr:to>
    <cdr:sp macro="" textlink="">
      <cdr:nvSpPr>
        <cdr:cNvPr id="20" name="TextBox 19"/>
        <cdr:cNvSpPr txBox="1"/>
      </cdr:nvSpPr>
      <cdr:spPr>
        <a:xfrm xmlns:a="http://schemas.openxmlformats.org/drawingml/2006/main">
          <a:off x="0" y="140709"/>
          <a:ext cx="8043472" cy="2783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800" b="0" i="0" baseline="0">
              <a:latin typeface="Verdana" pitchFamily="34" charset="0"/>
              <a:ea typeface="Verdana" pitchFamily="34" charset="0"/>
              <a:cs typeface="Verdana" pitchFamily="34" charset="0"/>
            </a:rPr>
            <a:t>Produced by Public Health Wales Observatory, using mid-year estimates &amp; population projections (ONS), HBSC survey &amp; Welsh Health Survey (WG)</a:t>
          </a:r>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cdr:y>
    </cdr:from>
    <cdr:to>
      <cdr:x>1</cdr:x>
      <cdr:y>0.08037</cdr:y>
    </cdr:to>
    <cdr:sp macro="" textlink="'WHS Controls'!$B$70">
      <cdr:nvSpPr>
        <cdr:cNvPr id="5" name="TextBox 4"/>
        <cdr:cNvSpPr txBox="1"/>
      </cdr:nvSpPr>
      <cdr:spPr>
        <a:xfrm xmlns:a="http://schemas.openxmlformats.org/drawingml/2006/main">
          <a:off x="0" y="0"/>
          <a:ext cx="8020050" cy="3988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D97A5E3-5B72-43F8-9985-D8F8E5AA7EA1}" type="TxLink">
            <a:rPr lang="en-US" sz="900" b="1" i="0" u="none" strike="noStrike">
              <a:solidFill>
                <a:srgbClr val="000000"/>
              </a:solidFill>
              <a:latin typeface="Verdana"/>
              <a:ea typeface="Verdana"/>
              <a:cs typeface="Verdana"/>
            </a:rPr>
            <a:pPr/>
            <a:t>Estimated smoking prevalence projection, all persons aged 16+, Wales, 2004/05 to 2039</a:t>
          </a:fld>
          <a:endParaRPr lang="en-GB" sz="900" b="1"/>
        </a:p>
      </cdr:txBody>
    </cdr:sp>
  </cdr:relSizeAnchor>
  <cdr:relSizeAnchor xmlns:cdr="http://schemas.openxmlformats.org/drawingml/2006/chartDrawing">
    <cdr:from>
      <cdr:x>0.06864</cdr:x>
      <cdr:y>0.50009</cdr:y>
    </cdr:from>
    <cdr:to>
      <cdr:x>0.42834</cdr:x>
      <cdr:y>0.63722</cdr:y>
    </cdr:to>
    <cdr:grpSp>
      <cdr:nvGrpSpPr>
        <cdr:cNvPr id="23" name="Group 22"/>
        <cdr:cNvGrpSpPr/>
      </cdr:nvGrpSpPr>
      <cdr:grpSpPr>
        <a:xfrm xmlns:a="http://schemas.openxmlformats.org/drawingml/2006/main">
          <a:off x="553765" y="2491236"/>
          <a:ext cx="2901943" cy="683123"/>
          <a:chOff x="610884" y="2072931"/>
          <a:chExt cx="2901967" cy="766115"/>
        </a:xfrm>
        <a:solidFill xmlns:a="http://schemas.openxmlformats.org/drawingml/2006/main">
          <a:sysClr val="window" lastClr="FFFFFF"/>
        </a:solidFill>
      </cdr:grpSpPr>
      <cdr:sp macro="" textlink="">
        <cdr:nvSpPr>
          <cdr:cNvPr id="6" name="TextBox 1"/>
          <cdr:cNvSpPr txBox="1"/>
        </cdr:nvSpPr>
        <cdr:spPr>
          <a:xfrm xmlns:a="http://schemas.openxmlformats.org/drawingml/2006/main">
            <a:off x="610884" y="2072931"/>
            <a:ext cx="2219014" cy="257065"/>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FF0000"/>
                </a:solidFill>
                <a:latin typeface="Verdana" pitchFamily="34" charset="0"/>
              </a:rPr>
              <a:t>National </a:t>
            </a:r>
            <a:r>
              <a:rPr lang="en-GB" sz="900" b="1">
                <a:solidFill>
                  <a:srgbClr val="FF0000"/>
                </a:solidFill>
                <a:latin typeface="Verdana" pitchFamily="34" charset="0"/>
              </a:rPr>
              <a:t>2020</a:t>
            </a:r>
            <a:r>
              <a:rPr lang="en-GB" sz="900" baseline="0">
                <a:solidFill>
                  <a:srgbClr val="FF0000"/>
                </a:solidFill>
                <a:latin typeface="Verdana" pitchFamily="34" charset="0"/>
              </a:rPr>
              <a:t> target: </a:t>
            </a:r>
            <a:r>
              <a:rPr lang="en-GB" sz="900" b="1" baseline="0">
                <a:solidFill>
                  <a:srgbClr val="FF0000"/>
                </a:solidFill>
                <a:latin typeface="Verdana" pitchFamily="34" charset="0"/>
              </a:rPr>
              <a:t>16.0%</a:t>
            </a:r>
            <a:endParaRPr lang="en-GB" sz="900" b="1">
              <a:solidFill>
                <a:srgbClr val="FF0000"/>
              </a:solidFill>
              <a:latin typeface="Verdana" pitchFamily="34" charset="0"/>
            </a:endParaRPr>
          </a:p>
        </cdr:txBody>
      </cdr:sp>
      <cdr:grpSp>
        <cdr:nvGrpSpPr>
          <cdr:cNvPr id="10" name="Group 9"/>
          <cdr:cNvGrpSpPr/>
        </cdr:nvGrpSpPr>
        <cdr:grpSpPr>
          <a:xfrm xmlns:a="http://schemas.openxmlformats.org/drawingml/2006/main">
            <a:off x="610884" y="2316309"/>
            <a:ext cx="1939610" cy="291566"/>
            <a:chOff x="581392" y="2535719"/>
            <a:chExt cx="1905337" cy="283105"/>
          </a:xfrm>
          <a:grpFill xmlns:a="http://schemas.openxmlformats.org/drawingml/2006/main"/>
        </cdr:grpSpPr>
        <cdr:sp macro="" textlink="">
          <cdr:nvSpPr>
            <cdr:cNvPr id="8" name="TextBox 1"/>
            <cdr:cNvSpPr txBox="1"/>
          </cdr:nvSpPr>
          <cdr:spPr>
            <a:xfrm xmlns:a="http://schemas.openxmlformats.org/drawingml/2006/main">
              <a:off x="581392" y="2535719"/>
              <a:ext cx="1604852" cy="249645"/>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000080"/>
                  </a:solidFill>
                  <a:latin typeface="Verdana" pitchFamily="34" charset="0"/>
                </a:rPr>
                <a:t>Projected </a:t>
              </a:r>
              <a:r>
                <a:rPr lang="en-GB" sz="900" b="1">
                  <a:solidFill>
                    <a:srgbClr val="000080"/>
                  </a:solidFill>
                  <a:latin typeface="Verdana" pitchFamily="34" charset="0"/>
                </a:rPr>
                <a:t>2020</a:t>
              </a:r>
              <a:r>
                <a:rPr lang="en-GB" sz="900" baseline="0">
                  <a:solidFill>
                    <a:srgbClr val="000080"/>
                  </a:solidFill>
                  <a:latin typeface="Verdana" pitchFamily="34" charset="0"/>
                </a:rPr>
                <a:t> value: </a:t>
              </a:r>
              <a:endParaRPr lang="en-GB" sz="900" b="1">
                <a:solidFill>
                  <a:srgbClr val="000080"/>
                </a:solidFill>
                <a:latin typeface="Verdana" pitchFamily="34" charset="0"/>
              </a:endParaRPr>
            </a:p>
          </cdr:txBody>
        </cdr:sp>
        <cdr:sp macro="" textlink="'WHS Calculations'!$G$23">
          <cdr:nvSpPr>
            <cdr:cNvPr id="7" name="TextBox 6"/>
            <cdr:cNvSpPr txBox="1"/>
          </cdr:nvSpPr>
          <cdr:spPr>
            <a:xfrm xmlns:a="http://schemas.openxmlformats.org/drawingml/2006/main">
              <a:off x="1957459" y="2544434"/>
              <a:ext cx="400312" cy="27439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18000" rIns="18000" rtlCol="0"/>
            <a:lstStyle xmlns:a="http://schemas.openxmlformats.org/drawingml/2006/main"/>
            <a:p xmlns:a="http://schemas.openxmlformats.org/drawingml/2006/main">
              <a:fld id="{D0346DB5-00E2-48F1-B698-FE2700826863}" type="TxLink">
                <a:rPr lang="en-US" sz="900" b="1" i="0" u="none" strike="noStrike">
                  <a:solidFill>
                    <a:srgbClr val="000080"/>
                  </a:solidFill>
                  <a:latin typeface="Verdana"/>
                  <a:ea typeface="Verdana"/>
                  <a:cs typeface="Verdana"/>
                </a:rPr>
                <a:pPr/>
                <a:t>18.1</a:t>
              </a:fld>
              <a:endParaRPr lang="en-GB" sz="1100" b="1">
                <a:solidFill>
                  <a:srgbClr val="000080"/>
                </a:solidFill>
              </a:endParaRPr>
            </a:p>
          </cdr:txBody>
        </cdr:sp>
        <cdr:sp macro="" textlink="">
          <cdr:nvSpPr>
            <cdr:cNvPr id="9" name="TextBox 8"/>
            <cdr:cNvSpPr txBox="1"/>
          </cdr:nvSpPr>
          <cdr:spPr>
            <a:xfrm xmlns:a="http://schemas.openxmlformats.org/drawingml/2006/main">
              <a:off x="2254529" y="2592543"/>
              <a:ext cx="232200" cy="208843"/>
            </a:xfrm>
            <a:prstGeom xmlns:a="http://schemas.openxmlformats.org/drawingml/2006/main" prst="rect">
              <a:avLst/>
            </a:prstGeom>
            <a:grpFill xmlns:a="http://schemas.openxmlformats.org/drawingml/2006/main"/>
          </cdr:spPr>
          <cdr:txBody>
            <a:bodyPr xmlns:a="http://schemas.openxmlformats.org/drawingml/2006/main" vertOverflow="clip" wrap="square" lIns="0" tIns="0" rIns="0" bIns="0" rtlCol="0"/>
            <a:lstStyle xmlns:a="http://schemas.openxmlformats.org/drawingml/2006/main"/>
            <a:p xmlns:a="http://schemas.openxmlformats.org/drawingml/2006/main">
              <a:r>
                <a:rPr lang="en-GB" sz="900" b="1">
                  <a:solidFill>
                    <a:srgbClr val="000080"/>
                  </a:solidFill>
                  <a:latin typeface="Verdana" pitchFamily="34" charset="0"/>
                  <a:ea typeface="Verdana" pitchFamily="34" charset="0"/>
                  <a:cs typeface="Verdana" pitchFamily="34" charset="0"/>
                </a:rPr>
                <a:t>%</a:t>
              </a:r>
            </a:p>
          </cdr:txBody>
        </cdr:sp>
      </cdr:grpSp>
      <cdr:grpSp>
        <cdr:nvGrpSpPr>
          <cdr:cNvPr id="11" name="Group 10"/>
          <cdr:cNvGrpSpPr/>
        </cdr:nvGrpSpPr>
        <cdr:grpSpPr>
          <a:xfrm xmlns:a="http://schemas.openxmlformats.org/drawingml/2006/main">
            <a:off x="610884" y="2558303"/>
            <a:ext cx="2901967" cy="280743"/>
            <a:chOff x="0" y="-1798"/>
            <a:chExt cx="2850750" cy="272576"/>
          </a:xfrm>
          <a:grpFill xmlns:a="http://schemas.openxmlformats.org/drawingml/2006/main"/>
        </cdr:grpSpPr>
        <cdr:sp macro="" textlink="">
          <cdr:nvSpPr>
            <cdr:cNvPr id="13" name="TextBox 1"/>
            <cdr:cNvSpPr txBox="1"/>
          </cdr:nvSpPr>
          <cdr:spPr>
            <a:xfrm xmlns:a="http://schemas.openxmlformats.org/drawingml/2006/main">
              <a:off x="0" y="0"/>
              <a:ext cx="1605917" cy="247994"/>
            </a:xfrm>
            <a:prstGeom xmlns:a="http://schemas.openxmlformats.org/drawingml/2006/main" prst="rect">
              <a:avLst/>
            </a:prstGeom>
            <a:grpFill xmlns:a="http://schemas.openxmlformats.org/drawingml/2006/main"/>
            <a:ln xmlns:a="http://schemas.openxmlformats.org/drawingml/2006/main" w="28575">
              <a:no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GB" sz="900">
                  <a:solidFill>
                    <a:srgbClr val="000080"/>
                  </a:solidFill>
                  <a:latin typeface="Verdana" pitchFamily="34" charset="0"/>
                </a:rPr>
                <a:t>Projected </a:t>
              </a:r>
              <a:r>
                <a:rPr lang="en-GB" sz="900" b="1">
                  <a:solidFill>
                    <a:srgbClr val="000080"/>
                  </a:solidFill>
                  <a:latin typeface="Verdana" pitchFamily="34" charset="0"/>
                </a:rPr>
                <a:t>16.0% </a:t>
              </a:r>
              <a:r>
                <a:rPr lang="en-GB" sz="900" b="0">
                  <a:solidFill>
                    <a:srgbClr val="000080"/>
                  </a:solidFill>
                  <a:latin typeface="Verdana" pitchFamily="34" charset="0"/>
                </a:rPr>
                <a:t>year</a:t>
              </a:r>
              <a:r>
                <a:rPr lang="en-GB" sz="900" baseline="0">
                  <a:solidFill>
                    <a:srgbClr val="000080"/>
                  </a:solidFill>
                  <a:latin typeface="Verdana" pitchFamily="34" charset="0"/>
                </a:rPr>
                <a:t>: </a:t>
              </a:r>
              <a:endParaRPr lang="en-GB" sz="900" b="1">
                <a:solidFill>
                  <a:srgbClr val="000080"/>
                </a:solidFill>
                <a:latin typeface="Verdana" pitchFamily="34" charset="0"/>
              </a:endParaRPr>
            </a:p>
          </cdr:txBody>
        </cdr:sp>
        <cdr:sp macro="" textlink="'WHS Calculations'!$X$46">
          <cdr:nvSpPr>
            <cdr:cNvPr id="14" name="TextBox 3"/>
            <cdr:cNvSpPr txBox="1"/>
          </cdr:nvSpPr>
          <cdr:spPr>
            <a:xfrm xmlns:a="http://schemas.openxmlformats.org/drawingml/2006/main">
              <a:off x="1453556" y="-1798"/>
              <a:ext cx="1397194" cy="272576"/>
            </a:xfrm>
            <a:prstGeom xmlns:a="http://schemas.openxmlformats.org/drawingml/2006/main" prst="rect">
              <a:avLst/>
            </a:prstGeom>
            <a:grpFill xmlns:a="http://schemas.openxmlformats.org/drawingml/2006/main"/>
          </cdr:spPr>
          <cdr:txBody>
            <a:bodyPr xmlns:a="http://schemas.openxmlformats.org/drawingml/2006/main" wrap="square" lIns="18000" rIns="1800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A9BB975-54A9-46CF-ACC4-93730B8E9CE2}" type="TxLink">
                <a:rPr lang="en-US" sz="900" b="1" i="0" u="none" strike="noStrike">
                  <a:solidFill>
                    <a:srgbClr val="000080"/>
                  </a:solidFill>
                  <a:latin typeface="Verdana"/>
                  <a:ea typeface="Verdana"/>
                  <a:cs typeface="Verdana"/>
                </a:rPr>
                <a:pPr/>
                <a:t>2027</a:t>
              </a:fld>
              <a:endParaRPr lang="en-GB" sz="1100" b="1">
                <a:solidFill>
                  <a:srgbClr val="000080"/>
                </a:solidFill>
              </a:endParaRPr>
            </a:p>
          </cdr:txBody>
        </cdr:sp>
      </cdr:grpSp>
    </cdr:grpSp>
  </cdr:relSizeAnchor>
  <cdr:relSizeAnchor xmlns:cdr="http://schemas.openxmlformats.org/drawingml/2006/chartDrawing">
    <cdr:from>
      <cdr:x>0</cdr:x>
      <cdr:y>0</cdr:y>
    </cdr:from>
    <cdr:to>
      <cdr:x>0</cdr:x>
      <cdr:y>0</cdr:y>
    </cdr:to>
    <cdr:sp macro="" textlink="">
      <cdr:nvSpPr>
        <cdr:cNvPr id="22" name="Straight Connector 21"/>
        <cdr:cNvSpPr/>
      </cdr:nvSpPr>
      <cdr:spPr>
        <a:xfrm xmlns:a="http://schemas.openxmlformats.org/drawingml/2006/main">
          <a:off x="-266700" y="-3488871"/>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en-US"/>
        </a:p>
      </cdr:txBody>
    </cdr:sp>
  </cdr:relSizeAnchor>
  <cdr:relSizeAnchor xmlns:cdr="http://schemas.openxmlformats.org/drawingml/2006/chartDrawing">
    <cdr:from>
      <cdr:x>0.06864</cdr:x>
      <cdr:y>0.65166</cdr:y>
    </cdr:from>
    <cdr:to>
      <cdr:x>0.4758</cdr:x>
      <cdr:y>0.77547</cdr:y>
    </cdr:to>
    <cdr:grpSp>
      <cdr:nvGrpSpPr>
        <cdr:cNvPr id="3" name="Group 2"/>
        <cdr:cNvGrpSpPr/>
      </cdr:nvGrpSpPr>
      <cdr:grpSpPr>
        <a:xfrm xmlns:a="http://schemas.openxmlformats.org/drawingml/2006/main">
          <a:off x="553765" y="3246293"/>
          <a:ext cx="3284835" cy="616769"/>
          <a:chOff x="610884" y="3429420"/>
          <a:chExt cx="3284835" cy="656933"/>
        </a:xfrm>
      </cdr:grpSpPr>
      <cdr:grpSp>
        <cdr:nvGrpSpPr>
          <cdr:cNvPr id="2" name="Group 1"/>
          <cdr:cNvGrpSpPr/>
        </cdr:nvGrpSpPr>
        <cdr:grpSpPr>
          <a:xfrm xmlns:a="http://schemas.openxmlformats.org/drawingml/2006/main">
            <a:off x="610884" y="3429420"/>
            <a:ext cx="3284835" cy="656933"/>
            <a:chOff x="610884" y="3429416"/>
            <a:chExt cx="3284841" cy="656932"/>
          </a:xfrm>
        </cdr:grpSpPr>
        <cdr:sp macro="" textlink="">
          <cdr:nvSpPr>
            <cdr:cNvPr id="16" name="TextBox 1"/>
            <cdr:cNvSpPr txBox="1"/>
          </cdr:nvSpPr>
          <cdr:spPr>
            <a:xfrm xmlns:a="http://schemas.openxmlformats.org/drawingml/2006/main">
              <a:off x="610884" y="3429416"/>
              <a:ext cx="3284841" cy="24723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9000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baseline="0">
                  <a:solidFill>
                    <a:srgbClr val="000080"/>
                  </a:solidFill>
                  <a:latin typeface="Verdana" pitchFamily="34" charset="0"/>
                </a:rPr>
                <a:t>Welsh Health Survey rate to 2014</a:t>
              </a:r>
              <a:endParaRPr lang="en-GB" sz="900" b="0">
                <a:solidFill>
                  <a:srgbClr val="000080"/>
                </a:solidFill>
                <a:latin typeface="Verdana" pitchFamily="34" charset="0"/>
              </a:endParaRPr>
            </a:p>
          </cdr:txBody>
        </cdr:sp>
        <cdr:sp macro="" textlink="">
          <cdr:nvSpPr>
            <cdr:cNvPr id="17" name="TextBox 1"/>
            <cdr:cNvSpPr txBox="1"/>
          </cdr:nvSpPr>
          <cdr:spPr>
            <a:xfrm xmlns:a="http://schemas.openxmlformats.org/drawingml/2006/main">
              <a:off x="610884" y="3890566"/>
              <a:ext cx="3256275" cy="19578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9000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b="0" baseline="0">
                  <a:solidFill>
                    <a:srgbClr val="000080"/>
                  </a:solidFill>
                  <a:latin typeface="Verdana" pitchFamily="34" charset="0"/>
                </a:rPr>
                <a:t>Trajectory based on user inputs from 2016</a:t>
              </a:r>
              <a:endParaRPr lang="en-GB" sz="900" b="0">
                <a:solidFill>
                  <a:srgbClr val="000080"/>
                </a:solidFill>
                <a:latin typeface="Verdana" pitchFamily="34" charset="0"/>
              </a:endParaRPr>
            </a:p>
          </cdr:txBody>
        </cdr:sp>
        <cdr:sp macro="" textlink="">
          <cdr:nvSpPr>
            <cdr:cNvPr id="24" name="Straight Connector 23"/>
            <cdr:cNvSpPr/>
          </cdr:nvSpPr>
          <cdr:spPr>
            <a:xfrm xmlns:a="http://schemas.openxmlformats.org/drawingml/2006/main">
              <a:off x="3502469" y="3511343"/>
              <a:ext cx="323676" cy="0"/>
            </a:xfrm>
            <a:prstGeom xmlns:a="http://schemas.openxmlformats.org/drawingml/2006/main" prst="line">
              <a:avLst/>
            </a:prstGeom>
            <a:ln xmlns:a="http://schemas.openxmlformats.org/drawingml/2006/main" w="28575" cap="rnd"/>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en-US"/>
            </a:p>
          </cdr:txBody>
        </cdr:sp>
        <cdr:sp macro="" textlink="">
          <cdr:nvSpPr>
            <cdr:cNvPr id="29" name="Straight Connector 28"/>
            <cdr:cNvSpPr/>
          </cdr:nvSpPr>
          <cdr:spPr>
            <a:xfrm xmlns:a="http://schemas.openxmlformats.org/drawingml/2006/main">
              <a:off x="3502469" y="3974136"/>
              <a:ext cx="323676" cy="0"/>
            </a:xfrm>
            <a:prstGeom xmlns:a="http://schemas.openxmlformats.org/drawingml/2006/main" prst="line">
              <a:avLst/>
            </a:prstGeom>
            <a:ln xmlns:a="http://schemas.openxmlformats.org/drawingml/2006/main" w="25400" cap="rnd">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rtlCol="0" anchor="ctr"/>
            <a:lstStyle xmlns:a="http://schemas.openxmlformats.org/drawingml/2006/main"/>
            <a:p xmlns:a="http://schemas.openxmlformats.org/drawingml/2006/main">
              <a:endParaRPr lang="en-US"/>
            </a:p>
          </cdr:txBody>
        </cdr:sp>
        <cdr:sp macro="" textlink="'WHS Controls'!$B$72">
          <cdr:nvSpPr>
            <cdr:cNvPr id="21" name="TextBox 1"/>
            <cdr:cNvSpPr txBox="1"/>
          </cdr:nvSpPr>
          <cdr:spPr>
            <a:xfrm xmlns:a="http://schemas.openxmlformats.org/drawingml/2006/main">
              <a:off x="612775" y="3659991"/>
              <a:ext cx="3180075" cy="21930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lIns="9000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fld id="{94024EF4-C6F3-4D6C-9C83-CA71D56D2426}" type="TxLink">
                <a:rPr lang="en-US" sz="900" b="0" i="0" u="none" strike="noStrike">
                  <a:solidFill>
                    <a:srgbClr val="000080"/>
                  </a:solidFill>
                  <a:latin typeface="Verdana"/>
                  <a:ea typeface="Verdana"/>
                  <a:cs typeface="Verdana"/>
                </a:rPr>
                <a:t>Welsh Health Survey reference rate in 2015</a:t>
              </a:fld>
              <a:endParaRPr lang="en-GB" sz="900" b="0">
                <a:solidFill>
                  <a:srgbClr val="000080"/>
                </a:solidFill>
                <a:latin typeface="Verdana" pitchFamily="34" charset="0"/>
              </a:endParaRPr>
            </a:p>
          </cdr:txBody>
        </cdr:sp>
      </cdr:grpSp>
      <cdr:sp macro="" textlink="">
        <cdr:nvSpPr>
          <cdr:cNvPr id="25" name="Rectangle 24"/>
          <cdr:cNvSpPr/>
        </cdr:nvSpPr>
        <cdr:spPr>
          <a:xfrm xmlns:a="http://schemas.openxmlformats.org/drawingml/2006/main">
            <a:off x="3624701" y="3689350"/>
            <a:ext cx="79200" cy="79200"/>
          </a:xfrm>
          <a:prstGeom xmlns:a="http://schemas.openxmlformats.org/drawingml/2006/main" prst="rect">
            <a:avLst/>
          </a:prstGeom>
          <a:solidFill xmlns:a="http://schemas.openxmlformats.org/drawingml/2006/main">
            <a:srgbClr val="3182B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relSizeAnchor>
  <cdr:relSizeAnchor xmlns:cdr="http://schemas.openxmlformats.org/drawingml/2006/chartDrawing">
    <cdr:from>
      <cdr:x>0.29083</cdr:x>
      <cdr:y>0.10174</cdr:y>
    </cdr:from>
    <cdr:to>
      <cdr:x>0.89847</cdr:x>
      <cdr:y>0.1759</cdr:y>
    </cdr:to>
    <cdr:sp macro="" textlink="">
      <cdr:nvSpPr>
        <cdr:cNvPr id="26" name="TextBox 1"/>
        <cdr:cNvSpPr txBox="1"/>
      </cdr:nvSpPr>
      <cdr:spPr>
        <a:xfrm xmlns:a="http://schemas.openxmlformats.org/drawingml/2006/main">
          <a:off x="2346326" y="506846"/>
          <a:ext cx="4902200" cy="369433"/>
        </a:xfrm>
        <a:prstGeom xmlns:a="http://schemas.openxmlformats.org/drawingml/2006/main" prst="rect">
          <a:avLst/>
        </a:prstGeom>
        <a:ln xmlns:a="http://schemas.openxmlformats.org/drawingml/2006/main">
          <a:solidFill>
            <a:srgbClr val="FF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Verdana" pitchFamily="34" charset="0"/>
              <a:ea typeface="Verdana" pitchFamily="34" charset="0"/>
              <a:cs typeface="Verdana" pitchFamily="34" charset="0"/>
            </a:rPr>
            <a:t>Please note that the projections are based on the Welsh Health Survey reference rate</a:t>
          </a:r>
          <a:r>
            <a:rPr lang="en-GB" sz="900" baseline="0">
              <a:latin typeface="Verdana" pitchFamily="34" charset="0"/>
              <a:ea typeface="Verdana" pitchFamily="34" charset="0"/>
              <a:cs typeface="Verdana" pitchFamily="34" charset="0"/>
            </a:rPr>
            <a:t> and user inputs only, i.e. not on the historic trend in the Survey data.</a:t>
          </a:r>
          <a:endParaRPr lang="en-GB" sz="900">
            <a:latin typeface="Verdana" pitchFamily="34" charset="0"/>
            <a:ea typeface="Verdana" pitchFamily="34" charset="0"/>
            <a:cs typeface="Verdana"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419100</xdr:colOff>
      <xdr:row>5</xdr:row>
      <xdr:rowOff>28575</xdr:rowOff>
    </xdr:to>
    <xdr:grpSp>
      <xdr:nvGrpSpPr>
        <xdr:cNvPr id="15" name="Group 14"/>
        <xdr:cNvGrpSpPr/>
      </xdr:nvGrpSpPr>
      <xdr:grpSpPr>
        <a:xfrm>
          <a:off x="0" y="0"/>
          <a:ext cx="14497050" cy="981075"/>
          <a:chOff x="0" y="0"/>
          <a:chExt cx="14497050" cy="981075"/>
        </a:xfrm>
      </xdr:grpSpPr>
      <xdr:pic>
        <xdr:nvPicPr>
          <xdr:cNvPr id="27" name="Picture 26"/>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8" name="Picture 27"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0</xdr:col>
      <xdr:colOff>0</xdr:colOff>
      <xdr:row>5</xdr:row>
      <xdr:rowOff>9525</xdr:rowOff>
    </xdr:from>
    <xdr:to>
      <xdr:col>8</xdr:col>
      <xdr:colOff>419100</xdr:colOff>
      <xdr:row>7</xdr:row>
      <xdr:rowOff>28575</xdr:rowOff>
    </xdr:to>
    <xdr:pic>
      <xdr:nvPicPr>
        <xdr:cNvPr id="12" name="Picture 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26" b="-1"/>
        <a:stretch/>
      </xdr:blipFill>
      <xdr:spPr bwMode="auto">
        <a:xfrm>
          <a:off x="0" y="962025"/>
          <a:ext cx="14497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28575</xdr:colOff>
      <xdr:row>5</xdr:row>
      <xdr:rowOff>76200</xdr:rowOff>
    </xdr:from>
    <xdr:to>
      <xdr:col>4</xdr:col>
      <xdr:colOff>948750</xdr:colOff>
      <xdr:row>7</xdr:row>
      <xdr:rowOff>12000</xdr:rowOff>
    </xdr:to>
    <xdr:grpSp>
      <xdr:nvGrpSpPr>
        <xdr:cNvPr id="2" name="Group 1"/>
        <xdr:cNvGrpSpPr/>
      </xdr:nvGrpSpPr>
      <xdr:grpSpPr>
        <a:xfrm>
          <a:off x="295275" y="1028700"/>
          <a:ext cx="7559100" cy="316800"/>
          <a:chOff x="295275" y="1028700"/>
          <a:chExt cx="7559100" cy="316800"/>
        </a:xfrm>
      </xdr:grpSpPr>
      <xdr:sp macro="" textlink="">
        <xdr:nvSpPr>
          <xdr:cNvPr id="14" name="Rectangle 13">
            <a:hlinkClick xmlns:r="http://schemas.openxmlformats.org/officeDocument/2006/relationships" r:id="rId4" tooltip="Introduction"/>
          </xdr:cNvPr>
          <xdr:cNvSpPr/>
        </xdr:nvSpPr>
        <xdr:spPr>
          <a:xfrm>
            <a:off x="2952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5" tooltip="National Survey for Wales"/>
          </xdr:cNvPr>
          <xdr:cNvSpPr/>
        </xdr:nvSpPr>
        <xdr:spPr>
          <a:xfrm>
            <a:off x="13811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6" tooltip="Technical guide"/>
          </xdr:cNvPr>
          <xdr:cNvSpPr/>
        </xdr:nvSpPr>
        <xdr:spPr>
          <a:xfrm>
            <a:off x="46386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7" tooltip="Interpretation guide"/>
          </xdr:cNvPr>
          <xdr:cNvSpPr/>
        </xdr:nvSpPr>
        <xdr:spPr>
          <a:xfrm>
            <a:off x="57245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8" tooltip="How to copy charts &amp; tables"/>
          </xdr:cNvPr>
          <xdr:cNvSpPr/>
        </xdr:nvSpPr>
        <xdr:spPr>
          <a:xfrm>
            <a:off x="68103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9" tooltip="Welsh Health Survey"/>
          </xdr:cNvPr>
          <xdr:cNvSpPr/>
        </xdr:nvSpPr>
        <xdr:spPr>
          <a:xfrm>
            <a:off x="24669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361950</xdr:colOff>
      <xdr:row>8</xdr:row>
      <xdr:rowOff>0</xdr:rowOff>
    </xdr:from>
    <xdr:to>
      <xdr:col>23</xdr:col>
      <xdr:colOff>175950</xdr:colOff>
      <xdr:row>29</xdr:row>
      <xdr:rowOff>22232</xdr:rowOff>
    </xdr:to>
    <xdr:pic>
      <xdr:nvPicPr>
        <xdr:cNvPr id="34" name="Picture 3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1524000"/>
          <a:ext cx="6519600" cy="4022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11</xdr:col>
      <xdr:colOff>421821</xdr:colOff>
      <xdr:row>28</xdr:row>
      <xdr:rowOff>150000</xdr:rowOff>
    </xdr:to>
    <xdr:pic>
      <xdr:nvPicPr>
        <xdr:cNvPr id="36"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24000"/>
          <a:ext cx="6517821" cy="39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24</xdr:col>
      <xdr:colOff>209550</xdr:colOff>
      <xdr:row>5</xdr:row>
      <xdr:rowOff>28575</xdr:rowOff>
    </xdr:to>
    <xdr:grpSp>
      <xdr:nvGrpSpPr>
        <xdr:cNvPr id="15" name="Group 14"/>
        <xdr:cNvGrpSpPr/>
      </xdr:nvGrpSpPr>
      <xdr:grpSpPr>
        <a:xfrm>
          <a:off x="0" y="0"/>
          <a:ext cx="14497050" cy="981075"/>
          <a:chOff x="0" y="0"/>
          <a:chExt cx="14497050" cy="981075"/>
        </a:xfrm>
      </xdr:grpSpPr>
      <xdr:pic>
        <xdr:nvPicPr>
          <xdr:cNvPr id="25"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14497050" cy="981075"/>
          </a:xfrm>
          <a:prstGeom prst="rect">
            <a:avLst/>
          </a:prstGeom>
          <a:noFill/>
        </xdr:spPr>
      </xdr:pic>
      <xdr:pic>
        <xdr:nvPicPr>
          <xdr:cNvPr id="26" name="Picture 25" descr="20160322_InteractiveBanner_BP.jpg"/>
          <xdr:cNvPicPr>
            <a:picLocks/>
          </xdr:cNvPicPr>
        </xdr:nvPicPr>
        <xdr:blipFill>
          <a:blip xmlns:r="http://schemas.openxmlformats.org/officeDocument/2006/relationships" r:embed="rId4" cstate="print"/>
          <a:srcRect t="4423" r="77769" b="9583"/>
          <a:stretch>
            <a:fillRect/>
          </a:stretch>
        </xdr:blipFill>
        <xdr:spPr>
          <a:xfrm>
            <a:off x="238125" y="66675"/>
            <a:ext cx="3232741" cy="841321"/>
          </a:xfrm>
          <a:prstGeom prst="rect">
            <a:avLst/>
          </a:prstGeom>
        </xdr:spPr>
      </xdr:pic>
    </xdr:grpSp>
    <xdr:clientData/>
  </xdr:twoCellAnchor>
  <xdr:twoCellAnchor>
    <xdr:from>
      <xdr:col>11</xdr:col>
      <xdr:colOff>608371</xdr:colOff>
      <xdr:row>16</xdr:row>
      <xdr:rowOff>156127</xdr:rowOff>
    </xdr:from>
    <xdr:to>
      <xdr:col>14</xdr:col>
      <xdr:colOff>438151</xdr:colOff>
      <xdr:row>18</xdr:row>
      <xdr:rowOff>98976</xdr:rowOff>
    </xdr:to>
    <xdr:sp macro="" textlink="">
      <xdr:nvSpPr>
        <xdr:cNvPr id="51" name="TextBox 50"/>
        <xdr:cNvSpPr txBox="1"/>
      </xdr:nvSpPr>
      <xdr:spPr>
        <a:xfrm>
          <a:off x="6971071" y="3204127"/>
          <a:ext cx="1658580" cy="323849"/>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Projected smoking prevalence based on user inputs</a:t>
          </a:r>
        </a:p>
      </xdr:txBody>
    </xdr:sp>
    <xdr:clientData/>
  </xdr:twoCellAnchor>
  <xdr:twoCellAnchor>
    <xdr:from>
      <xdr:col>9</xdr:col>
      <xdr:colOff>495300</xdr:colOff>
      <xdr:row>17</xdr:row>
      <xdr:rowOff>108501</xdr:rowOff>
    </xdr:from>
    <xdr:to>
      <xdr:col>11</xdr:col>
      <xdr:colOff>604017</xdr:colOff>
      <xdr:row>17</xdr:row>
      <xdr:rowOff>133350</xdr:rowOff>
    </xdr:to>
    <xdr:cxnSp macro="">
      <xdr:nvCxnSpPr>
        <xdr:cNvPr id="52" name="Straight Arrow Connector 51"/>
        <xdr:cNvCxnSpPr/>
      </xdr:nvCxnSpPr>
      <xdr:spPr>
        <a:xfrm flipH="1">
          <a:off x="5638800" y="3347001"/>
          <a:ext cx="1327917" cy="248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532645</xdr:colOff>
      <xdr:row>17</xdr:row>
      <xdr:rowOff>152400</xdr:rowOff>
    </xdr:from>
    <xdr:to>
      <xdr:col>5</xdr:col>
      <xdr:colOff>75806</xdr:colOff>
      <xdr:row>19</xdr:row>
      <xdr:rowOff>95249</xdr:rowOff>
    </xdr:to>
    <xdr:sp macro="" textlink="">
      <xdr:nvSpPr>
        <xdr:cNvPr id="53" name="TextBox 52"/>
        <xdr:cNvSpPr txBox="1"/>
      </xdr:nvSpPr>
      <xdr:spPr>
        <a:xfrm>
          <a:off x="2018545" y="3390900"/>
          <a:ext cx="762361" cy="323849"/>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National 2020 target</a:t>
          </a:r>
        </a:p>
      </xdr:txBody>
    </xdr:sp>
    <xdr:clientData/>
  </xdr:twoCellAnchor>
  <xdr:twoCellAnchor>
    <xdr:from>
      <xdr:col>3</xdr:col>
      <xdr:colOff>390525</xdr:colOff>
      <xdr:row>16</xdr:row>
      <xdr:rowOff>180975</xdr:rowOff>
    </xdr:from>
    <xdr:to>
      <xdr:col>4</xdr:col>
      <xdr:colOff>304226</xdr:colOff>
      <xdr:row>17</xdr:row>
      <xdr:rowOff>152400</xdr:rowOff>
    </xdr:to>
    <xdr:cxnSp macro="">
      <xdr:nvCxnSpPr>
        <xdr:cNvPr id="54" name="Straight Arrow Connector 53"/>
        <xdr:cNvCxnSpPr>
          <a:stCxn id="53" idx="0"/>
        </xdr:cNvCxnSpPr>
      </xdr:nvCxnSpPr>
      <xdr:spPr>
        <a:xfrm flipH="1" flipV="1">
          <a:off x="1876425" y="3228975"/>
          <a:ext cx="523301"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133281</xdr:colOff>
      <xdr:row>19</xdr:row>
      <xdr:rowOff>47625</xdr:rowOff>
    </xdr:from>
    <xdr:to>
      <xdr:col>11</xdr:col>
      <xdr:colOff>106136</xdr:colOff>
      <xdr:row>23</xdr:row>
      <xdr:rowOff>133350</xdr:rowOff>
    </xdr:to>
    <xdr:sp macro="" textlink="">
      <xdr:nvSpPr>
        <xdr:cNvPr id="55" name="TextBox 54"/>
        <xdr:cNvSpPr txBox="1"/>
      </xdr:nvSpPr>
      <xdr:spPr>
        <a:xfrm>
          <a:off x="3447981" y="3667125"/>
          <a:ext cx="3020855" cy="8477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ea typeface="Verdana" pitchFamily="34" charset="0"/>
              <a:cs typeface="Verdana" pitchFamily="34" charset="0"/>
            </a:rPr>
            <a:t>The projections of smoking prevalence are estimates. They are based on various assumptions which may or may not hold true in the future. The uncertainty of the projections is demonstrated by the fact that they change dramatically as a result of small changes to the user-defined parameters.</a:t>
          </a:r>
        </a:p>
      </xdr:txBody>
    </xdr:sp>
    <xdr:clientData/>
  </xdr:twoCellAnchor>
  <xdr:twoCellAnchor>
    <xdr:from>
      <xdr:col>14</xdr:col>
      <xdr:colOff>438151</xdr:colOff>
      <xdr:row>15</xdr:row>
      <xdr:rowOff>114300</xdr:rowOff>
    </xdr:from>
    <xdr:to>
      <xdr:col>16</xdr:col>
      <xdr:colOff>552450</xdr:colOff>
      <xdr:row>17</xdr:row>
      <xdr:rowOff>127552</xdr:rowOff>
    </xdr:to>
    <xdr:cxnSp macro="">
      <xdr:nvCxnSpPr>
        <xdr:cNvPr id="58" name="Straight Arrow Connector 57"/>
        <xdr:cNvCxnSpPr>
          <a:stCxn id="51" idx="3"/>
        </xdr:cNvCxnSpPr>
      </xdr:nvCxnSpPr>
      <xdr:spPr>
        <a:xfrm flipV="1">
          <a:off x="8629651" y="2971800"/>
          <a:ext cx="1333499" cy="3942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5</xdr:row>
      <xdr:rowOff>0</xdr:rowOff>
    </xdr:from>
    <xdr:to>
      <xdr:col>24</xdr:col>
      <xdr:colOff>209550</xdr:colOff>
      <xdr:row>7</xdr:row>
      <xdr:rowOff>28575</xdr:rowOff>
    </xdr:to>
    <xdr:pic>
      <xdr:nvPicPr>
        <xdr:cNvPr id="39"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52500"/>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28575</xdr:colOff>
      <xdr:row>5</xdr:row>
      <xdr:rowOff>76200</xdr:rowOff>
    </xdr:from>
    <xdr:to>
      <xdr:col>13</xdr:col>
      <xdr:colOff>272475</xdr:colOff>
      <xdr:row>7</xdr:row>
      <xdr:rowOff>12000</xdr:rowOff>
    </xdr:to>
    <xdr:grpSp>
      <xdr:nvGrpSpPr>
        <xdr:cNvPr id="2" name="Group 1"/>
        <xdr:cNvGrpSpPr/>
      </xdr:nvGrpSpPr>
      <xdr:grpSpPr>
        <a:xfrm>
          <a:off x="295275" y="1028700"/>
          <a:ext cx="7559100" cy="316800"/>
          <a:chOff x="295275" y="1028700"/>
          <a:chExt cx="7559100" cy="316800"/>
        </a:xfrm>
      </xdr:grpSpPr>
      <xdr:sp macro="" textlink="">
        <xdr:nvSpPr>
          <xdr:cNvPr id="41" name="Rectangle 40">
            <a:hlinkClick xmlns:r="http://schemas.openxmlformats.org/officeDocument/2006/relationships" r:id="rId6" tooltip="Introduction"/>
          </xdr:cNvPr>
          <xdr:cNvSpPr/>
        </xdr:nvSpPr>
        <xdr:spPr>
          <a:xfrm>
            <a:off x="2952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7" tooltip="National Survey for Wales"/>
          </xdr:cNvPr>
          <xdr:cNvSpPr/>
        </xdr:nvSpPr>
        <xdr:spPr>
          <a:xfrm>
            <a:off x="13811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8" tooltip="Technical guide"/>
          </xdr:cNvPr>
          <xdr:cNvSpPr/>
        </xdr:nvSpPr>
        <xdr:spPr>
          <a:xfrm>
            <a:off x="46386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9" tooltip="Interpretation guide"/>
          </xdr:cNvPr>
          <xdr:cNvSpPr/>
        </xdr:nvSpPr>
        <xdr:spPr>
          <a:xfrm>
            <a:off x="572452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0" tooltip="How to copy charts &amp; tables"/>
          </xdr:cNvPr>
          <xdr:cNvSpPr/>
        </xdr:nvSpPr>
        <xdr:spPr>
          <a:xfrm>
            <a:off x="68103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1" tooltip="Welsh Health Survey"/>
          </xdr:cNvPr>
          <xdr:cNvSpPr/>
        </xdr:nvSpPr>
        <xdr:spPr>
          <a:xfrm>
            <a:off x="2466975"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13</xdr:col>
      <xdr:colOff>265681</xdr:colOff>
      <xdr:row>14</xdr:row>
      <xdr:rowOff>76200</xdr:rowOff>
    </xdr:from>
    <xdr:to>
      <xdr:col>15</xdr:col>
      <xdr:colOff>152401</xdr:colOff>
      <xdr:row>16</xdr:row>
      <xdr:rowOff>38099</xdr:rowOff>
    </xdr:to>
    <xdr:sp macro="" textlink="">
      <xdr:nvSpPr>
        <xdr:cNvPr id="47" name="TextBox 46"/>
        <xdr:cNvSpPr txBox="1"/>
      </xdr:nvSpPr>
      <xdr:spPr>
        <a:xfrm>
          <a:off x="7847581" y="2743200"/>
          <a:ext cx="1105920" cy="342899"/>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Historical Welsh Health</a:t>
          </a:r>
          <a:r>
            <a:rPr lang="en-GB" sz="800" baseline="0">
              <a:latin typeface="Verdana" pitchFamily="34" charset="0"/>
              <a:ea typeface="Verdana" pitchFamily="34" charset="0"/>
              <a:cs typeface="Verdana" pitchFamily="34" charset="0"/>
            </a:rPr>
            <a:t> Survey rate</a:t>
          </a:r>
          <a:endParaRPr lang="en-GB" sz="800">
            <a:latin typeface="Verdana" pitchFamily="34" charset="0"/>
            <a:ea typeface="Verdana" pitchFamily="34" charset="0"/>
            <a:cs typeface="Verdana" pitchFamily="34" charset="0"/>
          </a:endParaRPr>
        </a:p>
      </xdr:txBody>
    </xdr:sp>
    <xdr:clientData/>
  </xdr:twoCellAnchor>
  <xdr:twoCellAnchor>
    <xdr:from>
      <xdr:col>14</xdr:col>
      <xdr:colOff>209041</xdr:colOff>
      <xdr:row>13</xdr:row>
      <xdr:rowOff>19050</xdr:rowOff>
    </xdr:from>
    <xdr:to>
      <xdr:col>14</xdr:col>
      <xdr:colOff>342900</xdr:colOff>
      <xdr:row>14</xdr:row>
      <xdr:rowOff>76200</xdr:rowOff>
    </xdr:to>
    <xdr:cxnSp macro="">
      <xdr:nvCxnSpPr>
        <xdr:cNvPr id="48" name="Straight Arrow Connector 47"/>
        <xdr:cNvCxnSpPr>
          <a:stCxn id="47" idx="0"/>
        </xdr:cNvCxnSpPr>
      </xdr:nvCxnSpPr>
      <xdr:spPr>
        <a:xfrm flipV="1">
          <a:off x="8400541" y="2495550"/>
          <a:ext cx="133859" cy="247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466723</xdr:colOff>
      <xdr:row>12</xdr:row>
      <xdr:rowOff>76200</xdr:rowOff>
    </xdr:from>
    <xdr:to>
      <xdr:col>18</xdr:col>
      <xdr:colOff>514350</xdr:colOff>
      <xdr:row>14</xdr:row>
      <xdr:rowOff>47626</xdr:rowOff>
    </xdr:to>
    <xdr:sp macro="" textlink="">
      <xdr:nvSpPr>
        <xdr:cNvPr id="7" name="TextBox 6"/>
        <xdr:cNvSpPr txBox="1"/>
      </xdr:nvSpPr>
      <xdr:spPr>
        <a:xfrm>
          <a:off x="9877423" y="2362200"/>
          <a:ext cx="1266827" cy="352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latin typeface="Verdana" panose="020B0604030504040204" pitchFamily="34" charset="0"/>
              <a:ea typeface="Verdana" panose="020B0604030504040204" pitchFamily="34" charset="0"/>
              <a:cs typeface="Verdana" panose="020B0604030504040204" pitchFamily="34" charset="0"/>
            </a:rPr>
            <a:t>Welsh Health Survey reference rate</a:t>
          </a:r>
        </a:p>
      </xdr:txBody>
    </xdr:sp>
    <xdr:clientData/>
  </xdr:twoCellAnchor>
  <xdr:twoCellAnchor>
    <xdr:from>
      <xdr:col>16</xdr:col>
      <xdr:colOff>171450</xdr:colOff>
      <xdr:row>13</xdr:row>
      <xdr:rowOff>47625</xdr:rowOff>
    </xdr:from>
    <xdr:to>
      <xdr:col>16</xdr:col>
      <xdr:colOff>466726</xdr:colOff>
      <xdr:row>14</xdr:row>
      <xdr:rowOff>95250</xdr:rowOff>
    </xdr:to>
    <xdr:cxnSp macro="">
      <xdr:nvCxnSpPr>
        <xdr:cNvPr id="9" name="Straight Arrow Connector 8"/>
        <xdr:cNvCxnSpPr/>
      </xdr:nvCxnSpPr>
      <xdr:spPr>
        <a:xfrm flipH="1">
          <a:off x="9582150" y="2524125"/>
          <a:ext cx="295276" cy="2381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12</xdr:row>
      <xdr:rowOff>104775</xdr:rowOff>
    </xdr:from>
    <xdr:to>
      <xdr:col>3</xdr:col>
      <xdr:colOff>447675</xdr:colOff>
      <xdr:row>14</xdr:row>
      <xdr:rowOff>47624</xdr:rowOff>
    </xdr:to>
    <xdr:sp macro="" textlink="">
      <xdr:nvSpPr>
        <xdr:cNvPr id="62" name="TextBox 61"/>
        <xdr:cNvSpPr txBox="1"/>
      </xdr:nvSpPr>
      <xdr:spPr>
        <a:xfrm>
          <a:off x="885825" y="2390775"/>
          <a:ext cx="1047750" cy="323849"/>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National Survey for Wales rate</a:t>
          </a:r>
        </a:p>
      </xdr:txBody>
    </xdr:sp>
    <xdr:clientData/>
  </xdr:twoCellAnchor>
  <xdr:twoCellAnchor>
    <xdr:from>
      <xdr:col>1</xdr:col>
      <xdr:colOff>590550</xdr:colOff>
      <xdr:row>14</xdr:row>
      <xdr:rowOff>47624</xdr:rowOff>
    </xdr:from>
    <xdr:to>
      <xdr:col>2</xdr:col>
      <xdr:colOff>533400</xdr:colOff>
      <xdr:row>15</xdr:row>
      <xdr:rowOff>76200</xdr:rowOff>
    </xdr:to>
    <xdr:cxnSp macro="">
      <xdr:nvCxnSpPr>
        <xdr:cNvPr id="63" name="Straight Arrow Connector 62"/>
        <xdr:cNvCxnSpPr>
          <a:stCxn id="62" idx="2"/>
        </xdr:cNvCxnSpPr>
      </xdr:nvCxnSpPr>
      <xdr:spPr>
        <a:xfrm flipH="1">
          <a:off x="857250" y="2714624"/>
          <a:ext cx="552450" cy="2190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28</xdr:row>
      <xdr:rowOff>0</xdr:rowOff>
    </xdr:from>
    <xdr:to>
      <xdr:col>8</xdr:col>
      <xdr:colOff>19050</xdr:colOff>
      <xdr:row>42</xdr:row>
      <xdr:rowOff>152400</xdr:rowOff>
    </xdr:to>
    <xdr:pic>
      <xdr:nvPicPr>
        <xdr:cNvPr id="102" name="Picture 4"/>
        <xdr:cNvPicPr>
          <a:picLocks noChangeAspect="1" noChangeArrowheads="1"/>
        </xdr:cNvPicPr>
      </xdr:nvPicPr>
      <xdr:blipFill>
        <a:blip xmlns:r="http://schemas.openxmlformats.org/officeDocument/2006/relationships" r:embed="rId12" cstate="print"/>
        <a:srcRect/>
        <a:stretch>
          <a:fillRect/>
        </a:stretch>
      </xdr:blipFill>
      <xdr:spPr bwMode="auto">
        <a:xfrm>
          <a:off x="266700" y="5334000"/>
          <a:ext cx="4286250" cy="2819400"/>
        </a:xfrm>
        <a:prstGeom prst="rect">
          <a:avLst/>
        </a:prstGeom>
        <a:noFill/>
      </xdr:spPr>
    </xdr:pic>
    <xdr:clientData/>
  </xdr:twoCellAnchor>
  <xdr:twoCellAnchor>
    <xdr:from>
      <xdr:col>2</xdr:col>
      <xdr:colOff>542926</xdr:colOff>
      <xdr:row>43</xdr:row>
      <xdr:rowOff>123825</xdr:rowOff>
    </xdr:from>
    <xdr:to>
      <xdr:col>4</xdr:col>
      <xdr:colOff>85725</xdr:colOff>
      <xdr:row>45</xdr:row>
      <xdr:rowOff>66825</xdr:rowOff>
    </xdr:to>
    <xdr:sp macro="" textlink="">
      <xdr:nvSpPr>
        <xdr:cNvPr id="103" name="TextBox 102"/>
        <xdr:cNvSpPr txBox="1"/>
      </xdr:nvSpPr>
      <xdr:spPr>
        <a:xfrm>
          <a:off x="1419226" y="8315325"/>
          <a:ext cx="761999" cy="3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Estimated quit</a:t>
          </a:r>
          <a:r>
            <a:rPr lang="en-GB" sz="800" baseline="0">
              <a:latin typeface="Verdana" pitchFamily="34" charset="0"/>
              <a:ea typeface="Verdana" pitchFamily="34" charset="0"/>
              <a:cs typeface="Verdana" pitchFamily="34" charset="0"/>
            </a:rPr>
            <a:t> rate</a:t>
          </a:r>
          <a:endParaRPr lang="en-GB" sz="800">
            <a:latin typeface="Verdana" pitchFamily="34" charset="0"/>
            <a:ea typeface="Verdana" pitchFamily="34" charset="0"/>
            <a:cs typeface="Verdana" pitchFamily="34" charset="0"/>
          </a:endParaRPr>
        </a:p>
      </xdr:txBody>
    </xdr:sp>
    <xdr:clientData/>
  </xdr:twoCellAnchor>
  <xdr:twoCellAnchor>
    <xdr:from>
      <xdr:col>3</xdr:col>
      <xdr:colOff>314326</xdr:colOff>
      <xdr:row>39</xdr:row>
      <xdr:rowOff>57151</xdr:rowOff>
    </xdr:from>
    <xdr:to>
      <xdr:col>4</xdr:col>
      <xdr:colOff>285750</xdr:colOff>
      <xdr:row>43</xdr:row>
      <xdr:rowOff>123825</xdr:rowOff>
    </xdr:to>
    <xdr:cxnSp macro="">
      <xdr:nvCxnSpPr>
        <xdr:cNvPr id="104" name="Straight Arrow Connector 103"/>
        <xdr:cNvCxnSpPr>
          <a:stCxn id="103" idx="0"/>
        </xdr:cNvCxnSpPr>
      </xdr:nvCxnSpPr>
      <xdr:spPr>
        <a:xfrm flipV="1">
          <a:off x="1800226" y="7486651"/>
          <a:ext cx="581024" cy="8286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44</xdr:row>
      <xdr:rowOff>0</xdr:rowOff>
    </xdr:from>
    <xdr:to>
      <xdr:col>7</xdr:col>
      <xdr:colOff>504825</xdr:colOff>
      <xdr:row>45</xdr:row>
      <xdr:rowOff>133349</xdr:rowOff>
    </xdr:to>
    <xdr:sp macro="" textlink="">
      <xdr:nvSpPr>
        <xdr:cNvPr id="105" name="TextBox 104"/>
        <xdr:cNvSpPr txBox="1"/>
      </xdr:nvSpPr>
      <xdr:spPr>
        <a:xfrm>
          <a:off x="2705100" y="8382000"/>
          <a:ext cx="1724025" cy="323849"/>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Annual quitters required to meet estimated</a:t>
          </a:r>
          <a:r>
            <a:rPr lang="en-GB" sz="800" baseline="0">
              <a:latin typeface="Verdana" pitchFamily="34" charset="0"/>
              <a:ea typeface="Verdana" pitchFamily="34" charset="0"/>
              <a:cs typeface="Verdana" pitchFamily="34" charset="0"/>
            </a:rPr>
            <a:t> prevalence</a:t>
          </a:r>
          <a:endParaRPr lang="en-GB" sz="800">
            <a:latin typeface="Verdana" pitchFamily="34" charset="0"/>
            <a:ea typeface="Verdana" pitchFamily="34" charset="0"/>
            <a:cs typeface="Verdana" pitchFamily="34" charset="0"/>
          </a:endParaRPr>
        </a:p>
      </xdr:txBody>
    </xdr:sp>
    <xdr:clientData/>
  </xdr:twoCellAnchor>
  <xdr:twoCellAnchor>
    <xdr:from>
      <xdr:col>6</xdr:col>
      <xdr:colOff>133350</xdr:colOff>
      <xdr:row>41</xdr:row>
      <xdr:rowOff>95250</xdr:rowOff>
    </xdr:from>
    <xdr:to>
      <xdr:col>6</xdr:col>
      <xdr:colOff>252413</xdr:colOff>
      <xdr:row>44</xdr:row>
      <xdr:rowOff>0</xdr:rowOff>
    </xdr:to>
    <xdr:cxnSp macro="">
      <xdr:nvCxnSpPr>
        <xdr:cNvPr id="106" name="Straight Arrow Connector 105"/>
        <xdr:cNvCxnSpPr>
          <a:stCxn id="105" idx="0"/>
        </xdr:cNvCxnSpPr>
      </xdr:nvCxnSpPr>
      <xdr:spPr>
        <a:xfrm flipH="1" flipV="1">
          <a:off x="3448050" y="7905750"/>
          <a:ext cx="119063"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400050</xdr:colOff>
      <xdr:row>34</xdr:row>
      <xdr:rowOff>28576</xdr:rowOff>
    </xdr:from>
    <xdr:to>
      <xdr:col>10</xdr:col>
      <xdr:colOff>390525</xdr:colOff>
      <xdr:row>36</xdr:row>
      <xdr:rowOff>114300</xdr:rowOff>
    </xdr:to>
    <xdr:sp macro="" textlink="">
      <xdr:nvSpPr>
        <xdr:cNvPr id="107" name="TextBox 106"/>
        <xdr:cNvSpPr txBox="1"/>
      </xdr:nvSpPr>
      <xdr:spPr>
        <a:xfrm>
          <a:off x="4933950" y="6505576"/>
          <a:ext cx="1209675" cy="466724"/>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lIns="54000" tIns="36000" rIns="54000" bIns="36000" rtlCol="0" anchor="t"/>
        <a:lstStyle/>
        <a:p>
          <a:pPr algn="ctr"/>
          <a:r>
            <a:rPr lang="en-GB" sz="800">
              <a:latin typeface="Verdana" pitchFamily="34" charset="0"/>
              <a:ea typeface="Verdana" pitchFamily="34" charset="0"/>
              <a:cs typeface="Verdana" pitchFamily="34" charset="0"/>
            </a:rPr>
            <a:t>Projected cumulative</a:t>
          </a:r>
          <a:r>
            <a:rPr lang="en-GB" sz="800" baseline="0">
              <a:latin typeface="Verdana" pitchFamily="34" charset="0"/>
              <a:ea typeface="Verdana" pitchFamily="34" charset="0"/>
              <a:cs typeface="Verdana" pitchFamily="34" charset="0"/>
            </a:rPr>
            <a:t> total of quitters in the selected area.</a:t>
          </a:r>
          <a:endParaRPr lang="en-GB" sz="800">
            <a:latin typeface="Verdana" pitchFamily="34" charset="0"/>
            <a:ea typeface="Verdana" pitchFamily="34" charset="0"/>
            <a:cs typeface="Verdana" pitchFamily="34" charset="0"/>
          </a:endParaRPr>
        </a:p>
      </xdr:txBody>
    </xdr:sp>
    <xdr:clientData/>
  </xdr:twoCellAnchor>
  <xdr:twoCellAnchor>
    <xdr:from>
      <xdr:col>7</xdr:col>
      <xdr:colOff>447677</xdr:colOff>
      <xdr:row>35</xdr:row>
      <xdr:rowOff>71438</xdr:rowOff>
    </xdr:from>
    <xdr:to>
      <xdr:col>8</xdr:col>
      <xdr:colOff>400050</xdr:colOff>
      <xdr:row>36</xdr:row>
      <xdr:rowOff>152400</xdr:rowOff>
    </xdr:to>
    <xdr:cxnSp macro="">
      <xdr:nvCxnSpPr>
        <xdr:cNvPr id="108" name="Straight Arrow Connector 107"/>
        <xdr:cNvCxnSpPr>
          <a:stCxn id="107" idx="1"/>
        </xdr:cNvCxnSpPr>
      </xdr:nvCxnSpPr>
      <xdr:spPr>
        <a:xfrm flipH="1">
          <a:off x="4371977" y="6738938"/>
          <a:ext cx="561973" cy="2714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1"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2"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29527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3"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0083" y="4973238"/>
            <a:ext cx="2612979"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816292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4"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0</xdr:col>
      <xdr:colOff>0</xdr:colOff>
      <xdr:row>0</xdr:row>
      <xdr:rowOff>0</xdr:rowOff>
    </xdr:from>
    <xdr:to>
      <xdr:col>24</xdr:col>
      <xdr:colOff>209550</xdr:colOff>
      <xdr:row>5</xdr:row>
      <xdr:rowOff>28575</xdr:rowOff>
    </xdr:to>
    <xdr:grpSp>
      <xdr:nvGrpSpPr>
        <xdr:cNvPr id="25" name="Group 24"/>
        <xdr:cNvGrpSpPr/>
      </xdr:nvGrpSpPr>
      <xdr:grpSpPr>
        <a:xfrm>
          <a:off x="0" y="0"/>
          <a:ext cx="14497050" cy="981075"/>
          <a:chOff x="0" y="0"/>
          <a:chExt cx="14497050" cy="981075"/>
        </a:xfrm>
      </xdr:grpSpPr>
      <xdr:pic>
        <xdr:nvPicPr>
          <xdr:cNvPr id="26" name="Picture 25"/>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14497050" cy="981075"/>
          </a:xfrm>
          <a:prstGeom prst="rect">
            <a:avLst/>
          </a:prstGeom>
          <a:noFill/>
        </xdr:spPr>
      </xdr:pic>
      <xdr:pic>
        <xdr:nvPicPr>
          <xdr:cNvPr id="27" name="Picture 26" descr="20160322_InteractiveBanner_BP.jpg"/>
          <xdr:cNvPicPr>
            <a:picLocks/>
          </xdr:cNvPicPr>
        </xdr:nvPicPr>
        <xdr:blipFill>
          <a:blip xmlns:r="http://schemas.openxmlformats.org/officeDocument/2006/relationships" r:embed="rId6" cstate="print"/>
          <a:srcRect t="4423" r="77769" b="9583"/>
          <a:stretch>
            <a:fillRect/>
          </a:stretch>
        </xdr:blipFill>
        <xdr:spPr>
          <a:xfrm>
            <a:off x="238125" y="66675"/>
            <a:ext cx="3232741" cy="841321"/>
          </a:xfrm>
          <a:prstGeom prst="rect">
            <a:avLst/>
          </a:prstGeom>
        </xdr:spPr>
      </xdr:pic>
    </xdr:grpSp>
    <xdr:clientData/>
  </xdr:twoCellAnchor>
  <xdr:twoCellAnchor editAs="absolute">
    <xdr:from>
      <xdr:col>0</xdr:col>
      <xdr:colOff>0</xdr:colOff>
      <xdr:row>5</xdr:row>
      <xdr:rowOff>0</xdr:rowOff>
    </xdr:from>
    <xdr:to>
      <xdr:col>24</xdr:col>
      <xdr:colOff>209550</xdr:colOff>
      <xdr:row>7</xdr:row>
      <xdr:rowOff>28575</xdr:rowOff>
    </xdr:to>
    <xdr:pic>
      <xdr:nvPicPr>
        <xdr:cNvPr id="20" name="Picture 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952500"/>
          <a:ext cx="144970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19050</xdr:colOff>
      <xdr:row>5</xdr:row>
      <xdr:rowOff>76200</xdr:rowOff>
    </xdr:from>
    <xdr:to>
      <xdr:col>13</xdr:col>
      <xdr:colOff>262950</xdr:colOff>
      <xdr:row>7</xdr:row>
      <xdr:rowOff>12000</xdr:rowOff>
    </xdr:to>
    <xdr:grpSp>
      <xdr:nvGrpSpPr>
        <xdr:cNvPr id="2" name="Group 1"/>
        <xdr:cNvGrpSpPr/>
      </xdr:nvGrpSpPr>
      <xdr:grpSpPr>
        <a:xfrm>
          <a:off x="285750" y="1028700"/>
          <a:ext cx="7559100" cy="316800"/>
          <a:chOff x="285750" y="1028700"/>
          <a:chExt cx="7559100" cy="316800"/>
        </a:xfrm>
      </xdr:grpSpPr>
      <xdr:sp macro="" textlink="">
        <xdr:nvSpPr>
          <xdr:cNvPr id="22" name="Rectangle 21">
            <a:hlinkClick xmlns:r="http://schemas.openxmlformats.org/officeDocument/2006/relationships" r:id="rId8" tooltip="Introduction"/>
          </xdr:cNvPr>
          <xdr:cNvSpPr/>
        </xdr:nvSpPr>
        <xdr:spPr>
          <a:xfrm>
            <a:off x="2857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National Survey for Wales"/>
          </xdr:cNvPr>
          <xdr:cNvSpPr/>
        </xdr:nvSpPr>
        <xdr:spPr>
          <a:xfrm>
            <a:off x="13716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10" tooltip="Technical guide"/>
          </xdr:cNvPr>
          <xdr:cNvSpPr/>
        </xdr:nvSpPr>
        <xdr:spPr>
          <a:xfrm>
            <a:off x="46291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Rectangle 27">
            <a:hlinkClick xmlns:r="http://schemas.openxmlformats.org/officeDocument/2006/relationships" r:id="rId11" tooltip="Interpretation guide"/>
          </xdr:cNvPr>
          <xdr:cNvSpPr/>
        </xdr:nvSpPr>
        <xdr:spPr>
          <a:xfrm>
            <a:off x="571500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12" tooltip="How to copy charts &amp; tables"/>
          </xdr:cNvPr>
          <xdr:cNvSpPr/>
        </xdr:nvSpPr>
        <xdr:spPr>
          <a:xfrm>
            <a:off x="68008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3" tooltip="Welsh Health Survey"/>
          </xdr:cNvPr>
          <xdr:cNvSpPr/>
        </xdr:nvSpPr>
        <xdr:spPr>
          <a:xfrm>
            <a:off x="2457450" y="1028700"/>
            <a:ext cx="1044000" cy="316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ublichealthwalesobservatory@wales.nhs.uk" TargetMode="External"/><Relationship Id="rId1" Type="http://schemas.openxmlformats.org/officeDocument/2006/relationships/hyperlink" Target="http://www.scotland.gov.uk/Resource/0041/00417174.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12"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www.scotland.gov.uk/Resource/0041/00417174.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S39"/>
  <sheetViews>
    <sheetView showGridLines="0" showRowColHeaders="0" tabSelected="1" workbookViewId="0"/>
  </sheetViews>
  <sheetFormatPr defaultRowHeight="15" x14ac:dyDescent="0.25"/>
  <cols>
    <col min="1" max="1" width="3.85546875" style="146" customWidth="1"/>
    <col min="2" max="2" width="86.140625" style="146" customWidth="1"/>
    <col min="3" max="6" width="9.140625" style="146"/>
    <col min="7" max="7" width="9.140625" style="146" customWidth="1"/>
    <col min="8" max="21" width="9.140625" style="146"/>
    <col min="22" max="22" width="9.140625" style="146" customWidth="1"/>
    <col min="23" max="16384" width="9.140625" style="146"/>
  </cols>
  <sheetData>
    <row r="8" spans="2:2" ht="18" customHeight="1" x14ac:dyDescent="0.25"/>
    <row r="9" spans="2:2" ht="30" customHeight="1" x14ac:dyDescent="0.25">
      <c r="B9" s="147" t="s">
        <v>324</v>
      </c>
    </row>
    <row r="10" spans="2:2" ht="28.5" customHeight="1" x14ac:dyDescent="0.25">
      <c r="B10" s="147" t="s">
        <v>325</v>
      </c>
    </row>
    <row r="11" spans="2:2" ht="28.5" customHeight="1" x14ac:dyDescent="0.25">
      <c r="B11" s="147" t="s">
        <v>328</v>
      </c>
    </row>
    <row r="12" spans="2:2" x14ac:dyDescent="0.25">
      <c r="B12" s="147" t="s">
        <v>326</v>
      </c>
    </row>
    <row r="13" spans="2:2" ht="18" customHeight="1" x14ac:dyDescent="0.25">
      <c r="B13" s="148" t="s">
        <v>299</v>
      </c>
    </row>
    <row r="14" spans="2:2" ht="13.5" customHeight="1" x14ac:dyDescent="0.25">
      <c r="B14" s="147" t="s">
        <v>293</v>
      </c>
    </row>
    <row r="15" spans="2:2" ht="13.5" customHeight="1" x14ac:dyDescent="0.25">
      <c r="B15" s="147" t="s">
        <v>294</v>
      </c>
    </row>
    <row r="16" spans="2:2" ht="25.5" customHeight="1" x14ac:dyDescent="0.25">
      <c r="B16" s="147" t="s">
        <v>295</v>
      </c>
    </row>
    <row r="17" spans="2:19" ht="30" customHeight="1" x14ac:dyDescent="0.25">
      <c r="B17" s="147" t="s">
        <v>296</v>
      </c>
    </row>
    <row r="18" spans="2:19" ht="55.5" customHeight="1" x14ac:dyDescent="0.25">
      <c r="B18" s="149" t="s">
        <v>336</v>
      </c>
    </row>
    <row r="19" spans="2:19" ht="43.5" customHeight="1" x14ac:dyDescent="0.25">
      <c r="B19" s="149" t="s">
        <v>297</v>
      </c>
    </row>
    <row r="20" spans="2:19" ht="30" customHeight="1" x14ac:dyDescent="0.25">
      <c r="B20" s="147" t="s">
        <v>298</v>
      </c>
    </row>
    <row r="21" spans="2:19" ht="13.5" customHeight="1" x14ac:dyDescent="0.25">
      <c r="B21" s="147" t="s">
        <v>312</v>
      </c>
    </row>
    <row r="22" spans="2:19" ht="13.5" customHeight="1" x14ac:dyDescent="0.25">
      <c r="B22" s="150" t="s">
        <v>300</v>
      </c>
    </row>
    <row r="24" spans="2:19" x14ac:dyDescent="0.25">
      <c r="B24" s="188" t="s">
        <v>22</v>
      </c>
    </row>
    <row r="25" spans="2:19" x14ac:dyDescent="0.25">
      <c r="B25" s="189" t="s">
        <v>20</v>
      </c>
      <c r="C25" s="189"/>
      <c r="D25" s="189"/>
      <c r="E25" s="189"/>
      <c r="F25" s="189"/>
      <c r="G25" s="189"/>
      <c r="H25" s="189"/>
      <c r="I25" s="189"/>
      <c r="J25" s="189"/>
      <c r="K25" s="189"/>
      <c r="L25" s="189"/>
      <c r="M25" s="189"/>
      <c r="N25" s="189"/>
      <c r="O25" s="189"/>
      <c r="P25" s="189"/>
      <c r="Q25" s="151"/>
      <c r="R25" s="151"/>
      <c r="S25" s="151"/>
    </row>
    <row r="26" spans="2:19" x14ac:dyDescent="0.25">
      <c r="B26" s="189" t="s">
        <v>21</v>
      </c>
      <c r="C26" s="189"/>
      <c r="D26" s="189"/>
      <c r="E26" s="189"/>
      <c r="F26" s="189"/>
      <c r="G26" s="189"/>
      <c r="H26" s="189"/>
      <c r="I26" s="189"/>
      <c r="J26" s="189"/>
      <c r="K26" s="189"/>
      <c r="L26" s="189"/>
      <c r="M26" s="189"/>
      <c r="N26" s="189"/>
      <c r="O26" s="189"/>
      <c r="P26" s="189"/>
      <c r="Q26" s="189"/>
      <c r="R26" s="189"/>
      <c r="S26" s="189"/>
    </row>
    <row r="36" spans="1:18" x14ac:dyDescent="0.25">
      <c r="B36" s="151"/>
      <c r="C36" s="151"/>
      <c r="D36" s="151"/>
      <c r="E36" s="151"/>
      <c r="F36" s="151"/>
      <c r="G36" s="151"/>
      <c r="H36" s="151"/>
      <c r="I36" s="151"/>
      <c r="J36" s="151"/>
      <c r="K36" s="151"/>
      <c r="L36" s="151"/>
      <c r="M36" s="151"/>
      <c r="N36" s="151"/>
      <c r="O36" s="151"/>
      <c r="P36" s="151"/>
      <c r="Q36" s="151"/>
      <c r="R36" s="151"/>
    </row>
    <row r="37" spans="1:18" ht="3.75" customHeight="1" x14ac:dyDescent="0.25">
      <c r="A37" s="151"/>
      <c r="B37" s="151"/>
      <c r="C37" s="151"/>
      <c r="D37" s="151"/>
      <c r="E37" s="151"/>
      <c r="F37" s="151"/>
      <c r="G37" s="151"/>
      <c r="H37" s="151"/>
      <c r="I37" s="151"/>
      <c r="J37" s="151"/>
      <c r="K37" s="151"/>
      <c r="L37" s="151"/>
      <c r="M37" s="151"/>
      <c r="N37" s="151"/>
      <c r="O37" s="151"/>
      <c r="P37" s="151"/>
      <c r="Q37" s="151"/>
      <c r="R37" s="151"/>
    </row>
    <row r="38" spans="1:18" ht="27" customHeight="1" x14ac:dyDescent="0.25"/>
    <row r="39" spans="1:18" ht="15.75" customHeight="1" x14ac:dyDescent="0.25"/>
  </sheetData>
  <sheetProtection algorithmName="SHA-512" hashValue="2mlIIW1flnasRg4WTHxnfGviu6nAJXLzmZ5MAwdQV+XTkTmbKZBMMpOjzulPxP0wVvcQFLpXLp0+LQ86Qq+2LA==" saltValue="lR/OYGl3xt7mmJzE3wtFbg==" spinCount="100000" sheet="1" scenarios="1"/>
  <mergeCells count="2">
    <mergeCell ref="B25:P25"/>
    <mergeCell ref="B26:S26"/>
  </mergeCells>
  <hyperlinks>
    <hyperlink ref="B13" r:id="rId1"/>
    <hyperlink ref="B22" r:id="rId2"/>
  </hyperlinks>
  <pageMargins left="0.70866141732283472" right="0.70866141732283472" top="0.74803149606299213" bottom="0.74803149606299213" header="0.31496062992125984" footer="0.31496062992125984"/>
  <pageSetup paperSize="9" scale="5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opLeftCell="A26" workbookViewId="0">
      <selection activeCell="B11" sqref="B11"/>
    </sheetView>
  </sheetViews>
  <sheetFormatPr defaultRowHeight="11.25" x14ac:dyDescent="0.15"/>
  <cols>
    <col min="1" max="1" width="13.85546875" style="139" customWidth="1"/>
    <col min="2" max="2" width="15.42578125" style="139" customWidth="1"/>
    <col min="3" max="3" width="9.42578125" style="139" customWidth="1"/>
    <col min="4" max="4" width="9.140625" style="139"/>
    <col min="5" max="5" width="14.5703125" style="139" customWidth="1"/>
    <col min="6" max="6" width="18.42578125" style="139" bestFit="1" customWidth="1"/>
    <col min="7" max="8" width="7.28515625" style="139" customWidth="1"/>
    <col min="9" max="9" width="23.28515625" style="139" customWidth="1"/>
    <col min="10" max="10" width="10.7109375" style="139" customWidth="1"/>
    <col min="11" max="11" width="5.28515625" style="139" customWidth="1"/>
    <col min="12" max="12" width="21.5703125" style="139" customWidth="1"/>
    <col min="13" max="13" width="7.28515625" style="139" customWidth="1"/>
    <col min="14" max="14" width="5.28515625" style="139" customWidth="1"/>
    <col min="15" max="15" width="19.5703125" style="139" customWidth="1"/>
    <col min="16" max="16" width="8.28515625" style="139" customWidth="1"/>
    <col min="17" max="17" width="5.28515625" style="139" customWidth="1"/>
    <col min="18" max="18" width="18.85546875" style="139" bestFit="1" customWidth="1"/>
    <col min="19" max="19" width="10.42578125" style="139" customWidth="1"/>
    <col min="20" max="20" width="5.28515625" style="139" customWidth="1"/>
    <col min="21" max="21" width="18.85546875" style="139" bestFit="1" customWidth="1"/>
    <col min="22" max="22" width="10.5703125" style="139" customWidth="1"/>
    <col min="23" max="16384" width="9.140625" style="139"/>
  </cols>
  <sheetData>
    <row r="1" spans="1:22" x14ac:dyDescent="0.15">
      <c r="A1" s="1" t="s">
        <v>23</v>
      </c>
      <c r="B1" s="1"/>
      <c r="C1" s="1"/>
      <c r="D1" s="1"/>
      <c r="E1" s="1"/>
      <c r="F1" s="1"/>
      <c r="G1" s="1"/>
      <c r="H1" s="1"/>
      <c r="I1" s="1"/>
      <c r="J1" s="2"/>
      <c r="K1" s="2"/>
      <c r="L1" s="2"/>
      <c r="M1" s="2"/>
      <c r="N1" s="2"/>
      <c r="O1" s="2"/>
      <c r="P1" s="2"/>
      <c r="Q1" s="2"/>
      <c r="R1" s="2"/>
      <c r="S1" s="2"/>
      <c r="T1" s="2"/>
      <c r="U1" s="2"/>
    </row>
    <row r="4" spans="1:22" x14ac:dyDescent="0.15">
      <c r="A4" s="4" t="s">
        <v>24</v>
      </c>
      <c r="B4" s="4"/>
      <c r="C4" s="4"/>
      <c r="D4" s="4"/>
      <c r="E4" s="4"/>
      <c r="F4" s="4"/>
      <c r="G4" s="4"/>
      <c r="H4" s="4"/>
      <c r="I4" s="4"/>
      <c r="J4" s="4"/>
      <c r="K4" s="4"/>
      <c r="L4" s="4"/>
      <c r="M4" s="4"/>
      <c r="O4" s="5" t="s">
        <v>25</v>
      </c>
      <c r="P4" s="6"/>
      <c r="Q4" s="6"/>
      <c r="R4" s="6"/>
      <c r="S4" s="6"/>
      <c r="T4" s="6"/>
      <c r="U4" s="6"/>
      <c r="V4" s="6"/>
    </row>
    <row r="8" spans="1:22" ht="27" customHeight="1" x14ac:dyDescent="0.15">
      <c r="A8" s="197" t="s">
        <v>26</v>
      </c>
      <c r="B8" s="198"/>
      <c r="C8" s="199"/>
      <c r="F8" s="200" t="s">
        <v>27</v>
      </c>
      <c r="G8" s="201"/>
      <c r="H8" s="7"/>
      <c r="I8" s="195" t="s">
        <v>28</v>
      </c>
      <c r="J8" s="196"/>
      <c r="K8" s="8"/>
      <c r="L8" s="195" t="s">
        <v>29</v>
      </c>
      <c r="M8" s="196"/>
      <c r="N8" s="8"/>
      <c r="O8" s="195" t="s">
        <v>30</v>
      </c>
      <c r="P8" s="196"/>
      <c r="Q8" s="9"/>
      <c r="R8" s="195" t="s">
        <v>31</v>
      </c>
      <c r="S8" s="196"/>
      <c r="T8" s="9"/>
      <c r="U8" s="195" t="s">
        <v>32</v>
      </c>
      <c r="V8" s="196"/>
    </row>
    <row r="9" spans="1:22" x14ac:dyDescent="0.15">
      <c r="A9" s="10"/>
      <c r="B9" s="11"/>
      <c r="C9" s="12"/>
      <c r="F9" s="13"/>
      <c r="G9" s="14"/>
      <c r="H9" s="15"/>
      <c r="I9" s="10"/>
      <c r="J9" s="16"/>
      <c r="K9" s="8"/>
      <c r="L9" s="10"/>
      <c r="M9" s="16"/>
      <c r="N9" s="8"/>
      <c r="O9" s="10"/>
      <c r="P9" s="16"/>
      <c r="Q9" s="8"/>
      <c r="R9" s="10"/>
      <c r="S9" s="16"/>
      <c r="T9" s="8"/>
      <c r="U9" s="10"/>
      <c r="V9" s="16"/>
    </row>
    <row r="10" spans="1:22" x14ac:dyDescent="0.15">
      <c r="A10" s="10" t="s">
        <v>33</v>
      </c>
      <c r="B10" s="11">
        <v>1</v>
      </c>
      <c r="C10" s="12"/>
      <c r="F10" s="17" t="s">
        <v>33</v>
      </c>
      <c r="G10" s="18">
        <v>21</v>
      </c>
      <c r="H10" s="11"/>
      <c r="I10" s="10" t="s">
        <v>33</v>
      </c>
      <c r="J10" s="12">
        <v>18</v>
      </c>
      <c r="L10" s="10" t="s">
        <v>33</v>
      </c>
      <c r="M10" s="12">
        <v>21</v>
      </c>
      <c r="O10" s="10" t="s">
        <v>33</v>
      </c>
      <c r="P10" s="12">
        <v>9</v>
      </c>
      <c r="R10" s="10" t="s">
        <v>33</v>
      </c>
      <c r="S10" s="12">
        <v>11</v>
      </c>
      <c r="U10" s="10" t="s">
        <v>33</v>
      </c>
      <c r="V10" s="12">
        <v>11</v>
      </c>
    </row>
    <row r="11" spans="1:22" x14ac:dyDescent="0.15">
      <c r="A11" s="10" t="s">
        <v>34</v>
      </c>
      <c r="B11" s="11" t="str">
        <f>INDEX(B13:B20,B10)</f>
        <v>Wales</v>
      </c>
      <c r="C11" s="12" t="str">
        <f>INDEX(A13:A20,B10)</f>
        <v>Wales</v>
      </c>
      <c r="F11" s="17" t="s">
        <v>34</v>
      </c>
      <c r="G11" s="19">
        <f>INDEX(G13:G58, G10)</f>
        <v>2.5</v>
      </c>
      <c r="H11" s="20"/>
      <c r="I11" s="10" t="s">
        <v>34</v>
      </c>
      <c r="J11" s="21">
        <f>INDEX(J13:J47, J10)</f>
        <v>8.5</v>
      </c>
      <c r="L11" s="10" t="s">
        <v>34</v>
      </c>
      <c r="M11" s="21">
        <f>INDEX(M13:M53, M10)</f>
        <v>0.2</v>
      </c>
      <c r="O11" s="10" t="s">
        <v>34</v>
      </c>
      <c r="P11" s="22">
        <f>INDEX(P13:P29, P10)</f>
        <v>0</v>
      </c>
      <c r="R11" s="10" t="s">
        <v>34</v>
      </c>
      <c r="S11" s="22">
        <f>INDEX(S13:S33, S10)</f>
        <v>0</v>
      </c>
      <c r="U11" s="10" t="s">
        <v>34</v>
      </c>
      <c r="V11" s="22">
        <f>INDEX(V13:V33, V10)</f>
        <v>0</v>
      </c>
    </row>
    <row r="12" spans="1:22" x14ac:dyDescent="0.15">
      <c r="A12" s="10"/>
      <c r="B12" s="11"/>
      <c r="C12" s="12"/>
      <c r="F12" s="17"/>
      <c r="G12" s="18"/>
      <c r="H12" s="11"/>
      <c r="I12" s="10"/>
      <c r="J12" s="12"/>
      <c r="L12" s="10"/>
      <c r="M12" s="12"/>
      <c r="O12" s="10"/>
      <c r="P12" s="12"/>
      <c r="R12" s="10"/>
      <c r="S12" s="12"/>
      <c r="U12" s="10"/>
      <c r="V12" s="12"/>
    </row>
    <row r="13" spans="1:22" x14ac:dyDescent="0.15">
      <c r="A13" s="10" t="s">
        <v>35</v>
      </c>
      <c r="B13" s="11" t="s">
        <v>35</v>
      </c>
      <c r="C13" s="12"/>
      <c r="F13" s="23">
        <v>5.0000000000000001E-3</v>
      </c>
      <c r="G13" s="12">
        <v>0.5</v>
      </c>
      <c r="H13" s="20"/>
      <c r="I13" s="23">
        <v>0</v>
      </c>
      <c r="J13" s="21">
        <v>0</v>
      </c>
      <c r="K13" s="25"/>
      <c r="L13" s="24">
        <v>0</v>
      </c>
      <c r="M13" s="26">
        <v>0</v>
      </c>
      <c r="O13" s="27" t="s">
        <v>36</v>
      </c>
      <c r="P13" s="22">
        <v>2</v>
      </c>
      <c r="Q13" s="25"/>
      <c r="R13" s="27" t="s">
        <v>264</v>
      </c>
      <c r="S13" s="22">
        <v>0.1</v>
      </c>
      <c r="U13" s="10" t="s">
        <v>38</v>
      </c>
      <c r="V13" s="21">
        <v>1</v>
      </c>
    </row>
    <row r="14" spans="1:22" x14ac:dyDescent="0.15">
      <c r="A14" s="10" t="s">
        <v>39</v>
      </c>
      <c r="B14" s="11" t="s">
        <v>40</v>
      </c>
      <c r="C14" s="12" t="s">
        <v>41</v>
      </c>
      <c r="F14" s="23">
        <v>6.0000000000000001E-3</v>
      </c>
      <c r="G14" s="12">
        <v>0.6</v>
      </c>
      <c r="H14" s="20"/>
      <c r="I14" s="23">
        <v>5.0000000000000001E-3</v>
      </c>
      <c r="J14" s="21">
        <v>0.5</v>
      </c>
      <c r="K14" s="25"/>
      <c r="L14" s="24">
        <v>1E-4</v>
      </c>
      <c r="M14" s="26">
        <v>0.01</v>
      </c>
      <c r="O14" s="27" t="s">
        <v>42</v>
      </c>
      <c r="P14" s="22">
        <v>1.75</v>
      </c>
      <c r="R14" s="27" t="s">
        <v>43</v>
      </c>
      <c r="S14" s="22">
        <v>0.09</v>
      </c>
      <c r="U14" s="27" t="s">
        <v>44</v>
      </c>
      <c r="V14" s="12">
        <v>0.9</v>
      </c>
    </row>
    <row r="15" spans="1:22" x14ac:dyDescent="0.15">
      <c r="A15" s="10" t="s">
        <v>45</v>
      </c>
      <c r="B15" s="11" t="s">
        <v>46</v>
      </c>
      <c r="C15" s="12"/>
      <c r="F15" s="23">
        <v>7.0000000000000001E-3</v>
      </c>
      <c r="G15" s="12">
        <v>0.7</v>
      </c>
      <c r="H15" s="20"/>
      <c r="I15" s="23">
        <v>0.01</v>
      </c>
      <c r="J15" s="28">
        <v>1</v>
      </c>
      <c r="K15" s="25"/>
      <c r="L15" s="24">
        <v>2.0000000000000001E-4</v>
      </c>
      <c r="M15" s="26">
        <v>0.02</v>
      </c>
      <c r="O15" s="27" t="s">
        <v>47</v>
      </c>
      <c r="P15" s="22">
        <v>1.5</v>
      </c>
      <c r="Q15" s="25"/>
      <c r="R15" s="27" t="s">
        <v>48</v>
      </c>
      <c r="S15" s="22">
        <v>0.08</v>
      </c>
      <c r="U15" s="27" t="s">
        <v>49</v>
      </c>
      <c r="V15" s="21">
        <v>0.8</v>
      </c>
    </row>
    <row r="16" spans="1:22" x14ac:dyDescent="0.15">
      <c r="A16" s="10" t="s">
        <v>50</v>
      </c>
      <c r="B16" s="11" t="s">
        <v>51</v>
      </c>
      <c r="C16" s="12"/>
      <c r="F16" s="23">
        <v>8.0000000000000002E-3</v>
      </c>
      <c r="G16" s="12">
        <v>0.8</v>
      </c>
      <c r="H16" s="20"/>
      <c r="I16" s="23">
        <v>1.4999999999999999E-2</v>
      </c>
      <c r="J16" s="28">
        <v>1.5</v>
      </c>
      <c r="K16" s="25"/>
      <c r="L16" s="24">
        <v>2.9999999999999997E-4</v>
      </c>
      <c r="M16" s="26">
        <v>0.03</v>
      </c>
      <c r="O16" s="27" t="s">
        <v>52</v>
      </c>
      <c r="P16" s="22">
        <v>1.25</v>
      </c>
      <c r="R16" s="27" t="s">
        <v>53</v>
      </c>
      <c r="S16" s="22">
        <v>7.0000000000000007E-2</v>
      </c>
      <c r="U16" s="27" t="s">
        <v>54</v>
      </c>
      <c r="V16" s="12">
        <v>0.7</v>
      </c>
    </row>
    <row r="17" spans="1:22" x14ac:dyDescent="0.15">
      <c r="A17" s="10" t="s">
        <v>55</v>
      </c>
      <c r="B17" s="11" t="s">
        <v>56</v>
      </c>
      <c r="C17" s="12" t="s">
        <v>41</v>
      </c>
      <c r="F17" s="23">
        <v>8.9999999999999993E-3</v>
      </c>
      <c r="G17" s="12">
        <v>0.9</v>
      </c>
      <c r="H17" s="20"/>
      <c r="I17" s="23">
        <v>0.02</v>
      </c>
      <c r="J17" s="28">
        <v>2</v>
      </c>
      <c r="K17" s="25"/>
      <c r="L17" s="24">
        <v>4.0000000000000002E-4</v>
      </c>
      <c r="M17" s="26">
        <v>0.04</v>
      </c>
      <c r="O17" s="27" t="s">
        <v>57</v>
      </c>
      <c r="P17" s="22">
        <v>1</v>
      </c>
      <c r="Q17" s="25"/>
      <c r="R17" s="27" t="s">
        <v>58</v>
      </c>
      <c r="S17" s="22">
        <v>0.06</v>
      </c>
      <c r="U17" s="27" t="s">
        <v>59</v>
      </c>
      <c r="V17" s="21">
        <v>0.6</v>
      </c>
    </row>
    <row r="18" spans="1:22" x14ac:dyDescent="0.15">
      <c r="A18" s="10" t="s">
        <v>60</v>
      </c>
      <c r="B18" s="11" t="s">
        <v>61</v>
      </c>
      <c r="C18" s="12" t="s">
        <v>41</v>
      </c>
      <c r="F18" s="32">
        <v>0.01</v>
      </c>
      <c r="G18" s="19">
        <v>1</v>
      </c>
      <c r="H18" s="20"/>
      <c r="I18" s="23">
        <v>2.5000000000000001E-2</v>
      </c>
      <c r="J18" s="28">
        <v>2.5</v>
      </c>
      <c r="K18" s="25"/>
      <c r="L18" s="24">
        <v>5.0000000000000001E-4</v>
      </c>
      <c r="M18" s="22">
        <v>0.05</v>
      </c>
      <c r="O18" s="27" t="s">
        <v>62</v>
      </c>
      <c r="P18" s="22">
        <v>0.75</v>
      </c>
      <c r="R18" s="27" t="s">
        <v>63</v>
      </c>
      <c r="S18" s="22">
        <v>0.05</v>
      </c>
      <c r="U18" s="27" t="s">
        <v>64</v>
      </c>
      <c r="V18" s="12">
        <v>0.5</v>
      </c>
    </row>
    <row r="19" spans="1:22" x14ac:dyDescent="0.15">
      <c r="A19" s="10" t="s">
        <v>65</v>
      </c>
      <c r="B19" s="11" t="s">
        <v>66</v>
      </c>
      <c r="C19" s="12"/>
      <c r="F19" s="32">
        <v>1.0999999999999999E-2</v>
      </c>
      <c r="G19" s="19">
        <v>1.1000000000000001</v>
      </c>
      <c r="H19" s="20"/>
      <c r="I19" s="23">
        <v>0.03</v>
      </c>
      <c r="J19" s="21">
        <v>3</v>
      </c>
      <c r="K19" s="25"/>
      <c r="L19" s="24">
        <v>5.9999999999999995E-4</v>
      </c>
      <c r="M19" s="26">
        <v>0.06</v>
      </c>
      <c r="O19" s="27" t="s">
        <v>67</v>
      </c>
      <c r="P19" s="22">
        <v>0.5</v>
      </c>
      <c r="Q19" s="25"/>
      <c r="R19" s="27" t="s">
        <v>68</v>
      </c>
      <c r="S19" s="22">
        <v>0.04</v>
      </c>
      <c r="U19" s="27" t="s">
        <v>69</v>
      </c>
      <c r="V19" s="21">
        <v>0.4</v>
      </c>
    </row>
    <row r="20" spans="1:22" x14ac:dyDescent="0.15">
      <c r="A20" s="29" t="s">
        <v>70</v>
      </c>
      <c r="B20" s="30" t="s">
        <v>71</v>
      </c>
      <c r="C20" s="31"/>
      <c r="F20" s="32">
        <v>1.2E-2</v>
      </c>
      <c r="G20" s="19">
        <v>1.2</v>
      </c>
      <c r="H20" s="20"/>
      <c r="I20" s="23">
        <v>3.5000000000000003E-2</v>
      </c>
      <c r="J20" s="21">
        <v>3.5</v>
      </c>
      <c r="K20" s="25"/>
      <c r="L20" s="24">
        <v>6.9999999999999999E-4</v>
      </c>
      <c r="M20" s="26">
        <v>7.0000000000000007E-2</v>
      </c>
      <c r="O20" s="27" t="s">
        <v>72</v>
      </c>
      <c r="P20" s="22">
        <v>0.25</v>
      </c>
      <c r="R20" s="27" t="s">
        <v>73</v>
      </c>
      <c r="S20" s="22">
        <v>0.03</v>
      </c>
      <c r="U20" s="27" t="s">
        <v>74</v>
      </c>
      <c r="V20" s="12">
        <v>0.3</v>
      </c>
    </row>
    <row r="21" spans="1:22" x14ac:dyDescent="0.15">
      <c r="F21" s="32">
        <v>1.2999999999999999E-2</v>
      </c>
      <c r="G21" s="19">
        <v>1.3</v>
      </c>
      <c r="H21" s="20"/>
      <c r="I21" s="23">
        <v>0.04</v>
      </c>
      <c r="J21" s="28">
        <v>4</v>
      </c>
      <c r="K21" s="25"/>
      <c r="L21" s="24">
        <v>8.0000000000000004E-4</v>
      </c>
      <c r="M21" s="26">
        <v>0.08</v>
      </c>
      <c r="O21" s="27" t="s">
        <v>75</v>
      </c>
      <c r="P21" s="22">
        <v>0</v>
      </c>
      <c r="Q21" s="25"/>
      <c r="R21" s="27" t="s">
        <v>76</v>
      </c>
      <c r="S21" s="22">
        <v>0.02</v>
      </c>
      <c r="U21" s="27" t="s">
        <v>77</v>
      </c>
      <c r="V21" s="21">
        <v>0.2</v>
      </c>
    </row>
    <row r="22" spans="1:22" x14ac:dyDescent="0.15">
      <c r="F22" s="32">
        <v>1.4E-2</v>
      </c>
      <c r="G22" s="19">
        <v>1.4</v>
      </c>
      <c r="H22" s="20"/>
      <c r="I22" s="23">
        <v>4.4999999999999998E-2</v>
      </c>
      <c r="J22" s="28">
        <v>4.5</v>
      </c>
      <c r="K22" s="25"/>
      <c r="L22" s="24">
        <v>8.9999999999999998E-4</v>
      </c>
      <c r="M22" s="26">
        <v>0.09</v>
      </c>
      <c r="O22" s="27" t="s">
        <v>78</v>
      </c>
      <c r="P22" s="26">
        <v>-0.25</v>
      </c>
      <c r="R22" s="27" t="s">
        <v>79</v>
      </c>
      <c r="S22" s="22">
        <v>0.01</v>
      </c>
      <c r="U22" s="27" t="s">
        <v>37</v>
      </c>
      <c r="V22" s="12">
        <v>0.1</v>
      </c>
    </row>
    <row r="23" spans="1:22" x14ac:dyDescent="0.15">
      <c r="F23" s="32">
        <v>1.4999999999999999E-2</v>
      </c>
      <c r="G23" s="19">
        <v>1.5</v>
      </c>
      <c r="H23" s="20"/>
      <c r="I23" s="23">
        <v>0.05</v>
      </c>
      <c r="J23" s="28">
        <v>5</v>
      </c>
      <c r="K23" s="25"/>
      <c r="L23" s="24">
        <v>1E-3</v>
      </c>
      <c r="M23" s="22">
        <v>0.1</v>
      </c>
      <c r="O23" s="27" t="s">
        <v>267</v>
      </c>
      <c r="P23" s="26">
        <v>-0.5</v>
      </c>
      <c r="Q23" s="25"/>
      <c r="R23" s="27" t="s">
        <v>75</v>
      </c>
      <c r="S23" s="22">
        <v>0</v>
      </c>
      <c r="U23" s="27" t="s">
        <v>75</v>
      </c>
      <c r="V23" s="21">
        <v>0</v>
      </c>
    </row>
    <row r="24" spans="1:22" x14ac:dyDescent="0.15">
      <c r="A24" s="139" t="s">
        <v>338</v>
      </c>
      <c r="F24" s="32">
        <v>1.6E-2</v>
      </c>
      <c r="G24" s="19">
        <v>1.6</v>
      </c>
      <c r="H24" s="20"/>
      <c r="I24" s="23">
        <v>5.5E-2</v>
      </c>
      <c r="J24" s="28">
        <v>5.5</v>
      </c>
      <c r="K24" s="25"/>
      <c r="L24" s="24">
        <v>1.1000000000000001E-3</v>
      </c>
      <c r="M24" s="26">
        <v>0.11</v>
      </c>
      <c r="O24" s="27" t="s">
        <v>81</v>
      </c>
      <c r="P24" s="22">
        <v>-0.75</v>
      </c>
      <c r="Q24" s="25"/>
      <c r="R24" s="27" t="s">
        <v>82</v>
      </c>
      <c r="S24" s="22">
        <v>-0.01</v>
      </c>
      <c r="U24" s="27" t="s">
        <v>83</v>
      </c>
      <c r="V24" s="12">
        <v>-0.1</v>
      </c>
    </row>
    <row r="25" spans="1:22" x14ac:dyDescent="0.15">
      <c r="A25" s="139" t="str">
        <f>IF(B10=1,"2015","2014-15")</f>
        <v>2015</v>
      </c>
      <c r="F25" s="32">
        <v>1.7000000000000001E-2</v>
      </c>
      <c r="G25" s="19">
        <v>1.7</v>
      </c>
      <c r="H25" s="20"/>
      <c r="I25" s="23">
        <v>0.06</v>
      </c>
      <c r="J25" s="22">
        <v>6</v>
      </c>
      <c r="K25" s="25"/>
      <c r="L25" s="24">
        <v>1.1999999999999999E-3</v>
      </c>
      <c r="M25" s="26">
        <v>0.12</v>
      </c>
      <c r="O25" s="27" t="s">
        <v>84</v>
      </c>
      <c r="P25" s="22">
        <v>-1</v>
      </c>
      <c r="Q25" s="25"/>
      <c r="R25" s="27" t="s">
        <v>85</v>
      </c>
      <c r="S25" s="22">
        <v>-0.02</v>
      </c>
      <c r="U25" s="27" t="s">
        <v>86</v>
      </c>
      <c r="V25" s="21">
        <v>-0.2</v>
      </c>
    </row>
    <row r="26" spans="1:22" x14ac:dyDescent="0.15">
      <c r="F26" s="32">
        <v>1.7999999999999999E-2</v>
      </c>
      <c r="G26" s="19">
        <v>1.8</v>
      </c>
      <c r="H26" s="20"/>
      <c r="I26" s="23">
        <v>6.5000000000000002E-2</v>
      </c>
      <c r="J26" s="22">
        <v>6.5</v>
      </c>
      <c r="K26" s="25"/>
      <c r="L26" s="24">
        <v>1.2999999999999999E-3</v>
      </c>
      <c r="M26" s="26">
        <v>0.13</v>
      </c>
      <c r="O26" s="27" t="s">
        <v>87</v>
      </c>
      <c r="P26" s="22">
        <v>-1.25</v>
      </c>
      <c r="Q26" s="25"/>
      <c r="R26" s="27" t="s">
        <v>88</v>
      </c>
      <c r="S26" s="22">
        <v>-0.03</v>
      </c>
      <c r="U26" s="27" t="s">
        <v>89</v>
      </c>
      <c r="V26" s="12">
        <v>-0.3</v>
      </c>
    </row>
    <row r="27" spans="1:22" x14ac:dyDescent="0.15">
      <c r="F27" s="32">
        <v>1.9E-2</v>
      </c>
      <c r="G27" s="19">
        <v>1.9</v>
      </c>
      <c r="H27" s="20"/>
      <c r="I27" s="23">
        <v>7.0000000000000007E-2</v>
      </c>
      <c r="J27" s="22">
        <v>7</v>
      </c>
      <c r="K27" s="25"/>
      <c r="L27" s="24">
        <v>1.4E-3</v>
      </c>
      <c r="M27" s="22">
        <v>0.14000000000000001</v>
      </c>
      <c r="O27" s="27" t="s">
        <v>266</v>
      </c>
      <c r="P27" s="22">
        <v>-1.5</v>
      </c>
      <c r="Q27" s="25"/>
      <c r="R27" s="27" t="s">
        <v>90</v>
      </c>
      <c r="S27" s="22">
        <v>-0.04</v>
      </c>
      <c r="U27" s="27" t="s">
        <v>91</v>
      </c>
      <c r="V27" s="21">
        <v>-0.4</v>
      </c>
    </row>
    <row r="28" spans="1:22" x14ac:dyDescent="0.15">
      <c r="F28" s="38">
        <v>0.02</v>
      </c>
      <c r="G28" s="19">
        <v>2</v>
      </c>
      <c r="H28" s="20"/>
      <c r="I28" s="23">
        <v>7.4999999999999997E-2</v>
      </c>
      <c r="J28" s="22">
        <v>7.5</v>
      </c>
      <c r="K28" s="25"/>
      <c r="L28" s="24">
        <v>1.5E-3</v>
      </c>
      <c r="M28" s="22">
        <v>0.15</v>
      </c>
      <c r="O28" s="27" t="s">
        <v>92</v>
      </c>
      <c r="P28" s="22">
        <v>-1.75</v>
      </c>
      <c r="Q28" s="25"/>
      <c r="R28" s="27" t="s">
        <v>93</v>
      </c>
      <c r="S28" s="22">
        <v>-0.05</v>
      </c>
      <c r="U28" s="27" t="s">
        <v>80</v>
      </c>
      <c r="V28" s="12">
        <v>-0.5</v>
      </c>
    </row>
    <row r="29" spans="1:22" x14ac:dyDescent="0.15">
      <c r="F29" s="32">
        <v>2.1000000000000001E-2</v>
      </c>
      <c r="G29" s="19">
        <v>2.1</v>
      </c>
      <c r="H29" s="20"/>
      <c r="I29" s="23">
        <v>0.08</v>
      </c>
      <c r="J29" s="22">
        <v>8</v>
      </c>
      <c r="K29" s="25"/>
      <c r="L29" s="24">
        <v>1.6000000000000001E-3</v>
      </c>
      <c r="M29" s="26">
        <v>0.16</v>
      </c>
      <c r="O29" s="27" t="s">
        <v>94</v>
      </c>
      <c r="P29" s="22">
        <v>-2</v>
      </c>
      <c r="Q29" s="25"/>
      <c r="R29" s="27" t="s">
        <v>95</v>
      </c>
      <c r="S29" s="22">
        <v>-0.06</v>
      </c>
      <c r="U29" s="27" t="s">
        <v>96</v>
      </c>
      <c r="V29" s="21">
        <v>-0.6</v>
      </c>
    </row>
    <row r="30" spans="1:22" x14ac:dyDescent="0.15">
      <c r="F30" s="32">
        <v>2.1999999999999999E-2</v>
      </c>
      <c r="G30" s="19">
        <v>2.2000000000000002</v>
      </c>
      <c r="H30" s="20"/>
      <c r="I30" s="33" t="s">
        <v>97</v>
      </c>
      <c r="J30" s="22">
        <v>8.5</v>
      </c>
      <c r="K30" s="25"/>
      <c r="L30" s="24">
        <v>1.6999999999999999E-3</v>
      </c>
      <c r="M30" s="26">
        <v>0.17</v>
      </c>
      <c r="O30" s="34"/>
      <c r="P30" s="35"/>
      <c r="Q30" s="25"/>
      <c r="R30" s="27" t="s">
        <v>98</v>
      </c>
      <c r="S30" s="22">
        <v>-7.0000000000000007E-2</v>
      </c>
      <c r="U30" s="27" t="s">
        <v>99</v>
      </c>
      <c r="V30" s="12">
        <v>-0.7</v>
      </c>
    </row>
    <row r="31" spans="1:22" x14ac:dyDescent="0.15">
      <c r="F31" s="32">
        <v>2.3E-2</v>
      </c>
      <c r="G31" s="19">
        <v>2.2999999999999998</v>
      </c>
      <c r="H31" s="20"/>
      <c r="I31" s="33">
        <v>0.09</v>
      </c>
      <c r="J31" s="22">
        <v>9</v>
      </c>
      <c r="K31" s="25"/>
      <c r="L31" s="24">
        <v>1.8E-3</v>
      </c>
      <c r="M31" s="22">
        <v>0.18</v>
      </c>
      <c r="O31" s="11"/>
      <c r="P31" s="36"/>
      <c r="Q31" s="25"/>
      <c r="R31" s="27" t="s">
        <v>100</v>
      </c>
      <c r="S31" s="22">
        <v>-0.08</v>
      </c>
      <c r="U31" s="27" t="s">
        <v>101</v>
      </c>
      <c r="V31" s="21">
        <v>-0.8</v>
      </c>
    </row>
    <row r="32" spans="1:22" x14ac:dyDescent="0.15">
      <c r="F32" s="32">
        <v>2.4E-2</v>
      </c>
      <c r="G32" s="19">
        <v>2.4</v>
      </c>
      <c r="H32" s="20"/>
      <c r="I32" s="23">
        <v>9.5000000000000001E-2</v>
      </c>
      <c r="J32" s="22">
        <v>9.5</v>
      </c>
      <c r="K32" s="25"/>
      <c r="L32" s="24">
        <v>1.9E-3</v>
      </c>
      <c r="M32" s="22">
        <v>0.19</v>
      </c>
      <c r="O32" s="37"/>
      <c r="P32" s="36"/>
      <c r="Q32" s="25"/>
      <c r="R32" s="27" t="s">
        <v>102</v>
      </c>
      <c r="S32" s="22">
        <v>-0.09</v>
      </c>
      <c r="U32" s="27" t="s">
        <v>103</v>
      </c>
      <c r="V32" s="12">
        <v>-0.9</v>
      </c>
    </row>
    <row r="33" spans="5:22" x14ac:dyDescent="0.15">
      <c r="F33" s="38" t="s">
        <v>108</v>
      </c>
      <c r="G33" s="19">
        <v>2.5</v>
      </c>
      <c r="H33" s="20"/>
      <c r="I33" s="23">
        <v>0.1</v>
      </c>
      <c r="J33" s="22">
        <v>10</v>
      </c>
      <c r="K33" s="25"/>
      <c r="L33" s="39" t="s">
        <v>104</v>
      </c>
      <c r="M33" s="22">
        <v>0.2</v>
      </c>
      <c r="O33" s="37"/>
      <c r="P33" s="36"/>
      <c r="Q33" s="25"/>
      <c r="R33" s="40" t="s">
        <v>265</v>
      </c>
      <c r="S33" s="41">
        <v>-0.1</v>
      </c>
      <c r="U33" s="40" t="s">
        <v>105</v>
      </c>
      <c r="V33" s="42">
        <v>-1</v>
      </c>
    </row>
    <row r="34" spans="5:22" x14ac:dyDescent="0.15">
      <c r="F34" s="32">
        <v>2.5999999999999999E-2</v>
      </c>
      <c r="G34" s="19">
        <v>2.6</v>
      </c>
      <c r="H34" s="20"/>
      <c r="I34" s="23">
        <v>0.105</v>
      </c>
      <c r="J34" s="22">
        <v>10.5</v>
      </c>
      <c r="K34" s="25"/>
      <c r="L34" s="24">
        <v>2.0999999999999999E-3</v>
      </c>
      <c r="M34" s="26">
        <v>0.21</v>
      </c>
      <c r="P34" s="11"/>
    </row>
    <row r="35" spans="5:22" x14ac:dyDescent="0.15">
      <c r="F35" s="32">
        <v>2.7E-2</v>
      </c>
      <c r="G35" s="19">
        <v>2.7</v>
      </c>
      <c r="H35" s="20"/>
      <c r="I35" s="23">
        <v>0.11</v>
      </c>
      <c r="J35" s="22">
        <v>11</v>
      </c>
      <c r="K35" s="25"/>
      <c r="L35" s="24">
        <v>2.2000000000000001E-3</v>
      </c>
      <c r="M35" s="26">
        <v>0.22</v>
      </c>
    </row>
    <row r="36" spans="5:22" x14ac:dyDescent="0.15">
      <c r="F36" s="32">
        <v>2.8000000000000001E-2</v>
      </c>
      <c r="G36" s="19">
        <v>2.8</v>
      </c>
      <c r="H36" s="20"/>
      <c r="I36" s="23">
        <v>0.115</v>
      </c>
      <c r="J36" s="22">
        <v>11.5</v>
      </c>
      <c r="K36" s="25"/>
      <c r="L36" s="24">
        <v>2.3E-3</v>
      </c>
      <c r="M36" s="22">
        <v>0.23</v>
      </c>
      <c r="O36" s="43" t="s">
        <v>106</v>
      </c>
      <c r="P36" s="44">
        <f>P40</f>
        <v>5</v>
      </c>
      <c r="R36" s="43" t="s">
        <v>106</v>
      </c>
      <c r="S36" s="139">
        <v>100</v>
      </c>
      <c r="U36" s="43" t="s">
        <v>106</v>
      </c>
      <c r="V36" s="139">
        <v>100</v>
      </c>
    </row>
    <row r="37" spans="5:22" x14ac:dyDescent="0.15">
      <c r="F37" s="32">
        <v>2.9000000000000001E-2</v>
      </c>
      <c r="G37" s="19">
        <v>2.9</v>
      </c>
      <c r="H37" s="20"/>
      <c r="I37" s="23">
        <v>0.12</v>
      </c>
      <c r="J37" s="22">
        <v>12</v>
      </c>
      <c r="K37" s="25"/>
      <c r="L37" s="24">
        <v>2.3999999999999998E-3</v>
      </c>
      <c r="M37" s="22">
        <v>0.24</v>
      </c>
      <c r="O37" s="43" t="s">
        <v>107</v>
      </c>
      <c r="P37" s="139">
        <v>0.5</v>
      </c>
      <c r="R37" s="43" t="s">
        <v>107</v>
      </c>
      <c r="S37" s="139">
        <v>0</v>
      </c>
      <c r="U37" s="43" t="s">
        <v>107</v>
      </c>
      <c r="V37" s="45">
        <v>0</v>
      </c>
    </row>
    <row r="38" spans="5:22" x14ac:dyDescent="0.15">
      <c r="F38" s="32">
        <v>0.03</v>
      </c>
      <c r="G38" s="19">
        <v>3</v>
      </c>
      <c r="H38" s="20"/>
      <c r="I38" s="23">
        <v>0.125</v>
      </c>
      <c r="J38" s="22">
        <v>12.5</v>
      </c>
      <c r="K38" s="25"/>
      <c r="L38" s="24">
        <v>2.5000000000000001E-3</v>
      </c>
      <c r="M38" s="22">
        <v>0.25</v>
      </c>
    </row>
    <row r="39" spans="5:22" x14ac:dyDescent="0.15">
      <c r="F39" s="32">
        <v>3.1E-2</v>
      </c>
      <c r="G39" s="19">
        <v>3.1</v>
      </c>
      <c r="H39" s="20"/>
      <c r="I39" s="23">
        <v>0.13</v>
      </c>
      <c r="J39" s="22">
        <v>13</v>
      </c>
      <c r="K39" s="25"/>
      <c r="L39" s="24">
        <v>2.5999999999999999E-3</v>
      </c>
      <c r="M39" s="26">
        <v>0.26</v>
      </c>
      <c r="O39" s="46" t="s">
        <v>33</v>
      </c>
      <c r="P39" s="47">
        <v>10</v>
      </c>
    </row>
    <row r="40" spans="5:22" x14ac:dyDescent="0.15">
      <c r="F40" s="32">
        <v>3.2000000000000001E-2</v>
      </c>
      <c r="G40" s="19">
        <v>3.2</v>
      </c>
      <c r="H40" s="20"/>
      <c r="I40" s="23">
        <v>0.13500000000000001</v>
      </c>
      <c r="J40" s="22">
        <v>13.5</v>
      </c>
      <c r="K40" s="25"/>
      <c r="L40" s="24">
        <v>2.7000000000000001E-3</v>
      </c>
      <c r="M40" s="26">
        <v>0.27</v>
      </c>
      <c r="O40" s="10" t="s">
        <v>34</v>
      </c>
      <c r="P40" s="22">
        <f>INDEX(P42:P62, P39)</f>
        <v>5</v>
      </c>
    </row>
    <row r="41" spans="5:22" x14ac:dyDescent="0.15">
      <c r="F41" s="32">
        <v>3.3000000000000002E-2</v>
      </c>
      <c r="G41" s="19">
        <v>3.3</v>
      </c>
      <c r="H41" s="20"/>
      <c r="I41" s="23">
        <v>0.14000000000000001</v>
      </c>
      <c r="J41" s="22">
        <v>14</v>
      </c>
      <c r="K41" s="25"/>
      <c r="L41" s="24">
        <v>2.8E-3</v>
      </c>
      <c r="M41" s="22">
        <v>0.28000000000000003</v>
      </c>
      <c r="O41" s="10"/>
      <c r="P41" s="12"/>
    </row>
    <row r="42" spans="5:22" x14ac:dyDescent="0.15">
      <c r="F42" s="32">
        <v>3.4000000000000002E-2</v>
      </c>
      <c r="G42" s="19">
        <v>3.4</v>
      </c>
      <c r="H42" s="20"/>
      <c r="I42" s="23">
        <v>0.14499999999999999</v>
      </c>
      <c r="J42" s="22">
        <v>14.5</v>
      </c>
      <c r="K42" s="25"/>
      <c r="L42" s="24">
        <v>2.8999999999999998E-3</v>
      </c>
      <c r="M42" s="22">
        <v>0.28999999999999998</v>
      </c>
      <c r="O42" s="23">
        <v>5.0000000000000001E-3</v>
      </c>
      <c r="P42" s="21">
        <v>0.5</v>
      </c>
    </row>
    <row r="43" spans="5:22" x14ac:dyDescent="0.15">
      <c r="F43" s="32">
        <v>3.5000000000000003E-2</v>
      </c>
      <c r="G43" s="19">
        <v>3.5</v>
      </c>
      <c r="H43" s="20"/>
      <c r="I43" s="23">
        <v>0.15</v>
      </c>
      <c r="J43" s="22">
        <v>15</v>
      </c>
      <c r="K43" s="25"/>
      <c r="L43" s="24">
        <v>3.0000000000000001E-3</v>
      </c>
      <c r="M43" s="22">
        <v>0.3</v>
      </c>
      <c r="O43" s="23">
        <v>0.01</v>
      </c>
      <c r="P43" s="21">
        <v>1</v>
      </c>
    </row>
    <row r="44" spans="5:22" x14ac:dyDescent="0.15">
      <c r="F44" s="32">
        <v>3.5999999999999997E-2</v>
      </c>
      <c r="G44" s="19">
        <v>3.6</v>
      </c>
      <c r="I44" s="23">
        <v>0.155</v>
      </c>
      <c r="J44" s="22">
        <v>15.5</v>
      </c>
      <c r="K44" s="25"/>
      <c r="L44" s="24">
        <v>3.0999999999999999E-3</v>
      </c>
      <c r="M44" s="26">
        <v>0.31</v>
      </c>
      <c r="O44" s="23">
        <v>1.4999999999999999E-2</v>
      </c>
      <c r="P44" s="21">
        <v>1.5</v>
      </c>
      <c r="Q44" s="25"/>
    </row>
    <row r="45" spans="5:22" x14ac:dyDescent="0.15">
      <c r="F45" s="32">
        <v>3.6999999999999998E-2</v>
      </c>
      <c r="G45" s="19">
        <v>3.7</v>
      </c>
      <c r="I45" s="23">
        <v>0.16</v>
      </c>
      <c r="J45" s="22">
        <v>16</v>
      </c>
      <c r="K45" s="25"/>
      <c r="L45" s="24">
        <v>3.2000000000000002E-3</v>
      </c>
      <c r="M45" s="26">
        <v>0.32</v>
      </c>
      <c r="O45" s="23">
        <v>0.02</v>
      </c>
      <c r="P45" s="21">
        <v>2</v>
      </c>
      <c r="Q45" s="25"/>
    </row>
    <row r="46" spans="5:22" x14ac:dyDescent="0.15">
      <c r="F46" s="32">
        <v>3.7999999999999999E-2</v>
      </c>
      <c r="G46" s="19">
        <v>3.8</v>
      </c>
      <c r="I46" s="23">
        <v>0.16500000000000001</v>
      </c>
      <c r="J46" s="22">
        <v>16.5</v>
      </c>
      <c r="K46" s="25"/>
      <c r="L46" s="24">
        <v>3.3E-3</v>
      </c>
      <c r="M46" s="22">
        <v>0.33</v>
      </c>
      <c r="O46" s="23">
        <v>2.5000000000000001E-2</v>
      </c>
      <c r="P46" s="21">
        <v>2.5</v>
      </c>
      <c r="Q46" s="25"/>
    </row>
    <row r="47" spans="5:22" x14ac:dyDescent="0.15">
      <c r="E47" s="49"/>
      <c r="F47" s="32">
        <v>3.9E-2</v>
      </c>
      <c r="G47" s="19">
        <v>3.9</v>
      </c>
      <c r="I47" s="23">
        <v>0.17</v>
      </c>
      <c r="J47" s="22">
        <v>17</v>
      </c>
      <c r="K47" s="25"/>
      <c r="L47" s="24">
        <v>3.3999999999999998E-3</v>
      </c>
      <c r="M47" s="22">
        <v>0.34</v>
      </c>
      <c r="O47" s="23">
        <v>0.03</v>
      </c>
      <c r="P47" s="21">
        <v>3</v>
      </c>
      <c r="Q47" s="25"/>
    </row>
    <row r="48" spans="5:22" x14ac:dyDescent="0.15">
      <c r="F48" s="23">
        <v>0.04</v>
      </c>
      <c r="G48" s="19">
        <v>4</v>
      </c>
      <c r="I48" s="34"/>
      <c r="J48" s="34"/>
      <c r="K48" s="25"/>
      <c r="L48" s="24">
        <v>3.5000000000000001E-3</v>
      </c>
      <c r="M48" s="22">
        <v>0.35</v>
      </c>
      <c r="O48" s="23">
        <v>3.5000000000000003E-2</v>
      </c>
      <c r="P48" s="21">
        <v>3.5</v>
      </c>
      <c r="Q48" s="25"/>
    </row>
    <row r="49" spans="6:17" x14ac:dyDescent="0.15">
      <c r="F49" s="23">
        <v>4.1000000000000002E-2</v>
      </c>
      <c r="G49" s="19">
        <v>4.0999999999999996</v>
      </c>
      <c r="K49" s="25"/>
      <c r="L49" s="24">
        <v>3.5999999999999999E-3</v>
      </c>
      <c r="M49" s="26">
        <v>0.36</v>
      </c>
      <c r="O49" s="23">
        <v>0.04</v>
      </c>
      <c r="P49" s="21">
        <v>4</v>
      </c>
      <c r="Q49" s="25"/>
    </row>
    <row r="50" spans="6:17" x14ac:dyDescent="0.15">
      <c r="F50" s="23">
        <v>4.2000000000000003E-2</v>
      </c>
      <c r="G50" s="19">
        <v>4.2</v>
      </c>
      <c r="L50" s="24">
        <v>3.7000000000000002E-3</v>
      </c>
      <c r="M50" s="26">
        <v>0.37</v>
      </c>
      <c r="O50" s="23">
        <v>4.4999999999999998E-2</v>
      </c>
      <c r="P50" s="21">
        <v>4.5</v>
      </c>
      <c r="Q50" s="25"/>
    </row>
    <row r="51" spans="6:17" x14ac:dyDescent="0.15">
      <c r="F51" s="23">
        <v>4.2999999999999997E-2</v>
      </c>
      <c r="G51" s="19">
        <v>4.3</v>
      </c>
      <c r="K51" s="25"/>
      <c r="L51" s="24">
        <v>3.8E-3</v>
      </c>
      <c r="M51" s="22">
        <v>0.38</v>
      </c>
      <c r="O51" s="23" t="s">
        <v>314</v>
      </c>
      <c r="P51" s="21">
        <v>5</v>
      </c>
      <c r="Q51" s="25"/>
    </row>
    <row r="52" spans="6:17" x14ac:dyDescent="0.15">
      <c r="F52" s="23">
        <v>4.3999999999999997E-2</v>
      </c>
      <c r="G52" s="19">
        <v>4.4000000000000004</v>
      </c>
      <c r="K52" s="25"/>
      <c r="L52" s="24">
        <v>3.8999999999999998E-3</v>
      </c>
      <c r="M52" s="22">
        <v>0.39</v>
      </c>
      <c r="O52" s="23">
        <v>5.5E-2</v>
      </c>
      <c r="P52" s="21">
        <v>5.5</v>
      </c>
      <c r="Q52" s="25"/>
    </row>
    <row r="53" spans="6:17" x14ac:dyDescent="0.15">
      <c r="F53" s="23">
        <v>4.4999999999999998E-2</v>
      </c>
      <c r="G53" s="19">
        <v>4.5</v>
      </c>
      <c r="K53" s="25"/>
      <c r="L53" s="50">
        <v>4.0000000000000001E-3</v>
      </c>
      <c r="M53" s="41">
        <v>0.4</v>
      </c>
      <c r="O53" s="23">
        <v>0.06</v>
      </c>
      <c r="P53" s="21">
        <v>6</v>
      </c>
      <c r="Q53" s="25"/>
    </row>
    <row r="54" spans="6:17" x14ac:dyDescent="0.15">
      <c r="F54" s="23">
        <v>4.5999999999999999E-2</v>
      </c>
      <c r="G54" s="19">
        <v>4.5999999999999996</v>
      </c>
      <c r="K54" s="25"/>
      <c r="O54" s="23">
        <v>6.5000000000000002E-2</v>
      </c>
      <c r="P54" s="21">
        <v>6.5</v>
      </c>
    </row>
    <row r="55" spans="6:17" x14ac:dyDescent="0.15">
      <c r="F55" s="23">
        <v>4.7E-2</v>
      </c>
      <c r="G55" s="19">
        <v>4.7</v>
      </c>
      <c r="K55" s="25"/>
      <c r="O55" s="23">
        <v>7.0000000000000007E-2</v>
      </c>
      <c r="P55" s="21">
        <v>7</v>
      </c>
    </row>
    <row r="56" spans="6:17" x14ac:dyDescent="0.15">
      <c r="F56" s="23">
        <v>4.8000000000000001E-2</v>
      </c>
      <c r="G56" s="19">
        <v>4.8</v>
      </c>
      <c r="K56" s="25"/>
      <c r="O56" s="23">
        <v>7.4999999999999997E-2</v>
      </c>
      <c r="P56" s="21">
        <v>7.5</v>
      </c>
    </row>
    <row r="57" spans="6:17" x14ac:dyDescent="0.15">
      <c r="F57" s="23">
        <v>4.9000000000000002E-2</v>
      </c>
      <c r="G57" s="19">
        <v>4.9000000000000004</v>
      </c>
      <c r="K57" s="25"/>
      <c r="O57" s="23">
        <v>0.08</v>
      </c>
      <c r="P57" s="21">
        <v>8</v>
      </c>
    </row>
    <row r="58" spans="6:17" x14ac:dyDescent="0.15">
      <c r="F58" s="51">
        <v>0.05</v>
      </c>
      <c r="G58" s="19">
        <v>5</v>
      </c>
      <c r="K58" s="25"/>
      <c r="O58" s="33">
        <v>8.5000000000000006E-2</v>
      </c>
      <c r="P58" s="21">
        <v>8.5</v>
      </c>
    </row>
    <row r="59" spans="6:17" x14ac:dyDescent="0.15">
      <c r="G59" s="34"/>
      <c r="K59" s="25"/>
      <c r="O59" s="33">
        <v>0.09</v>
      </c>
      <c r="P59" s="21">
        <v>9</v>
      </c>
    </row>
    <row r="60" spans="6:17" ht="12.75" x14ac:dyDescent="0.15">
      <c r="F60" s="142"/>
      <c r="K60" s="25"/>
      <c r="O60" s="23">
        <v>9.5000000000000001E-2</v>
      </c>
      <c r="P60" s="21">
        <v>9.5</v>
      </c>
    </row>
    <row r="61" spans="6:17" ht="12.75" x14ac:dyDescent="0.15">
      <c r="F61" s="142"/>
      <c r="K61" s="25"/>
      <c r="O61" s="23">
        <v>0.1</v>
      </c>
      <c r="P61" s="21">
        <v>10</v>
      </c>
    </row>
    <row r="62" spans="6:17" x14ac:dyDescent="0.15">
      <c r="K62" s="25"/>
      <c r="O62" s="48" t="s">
        <v>109</v>
      </c>
      <c r="P62" s="12">
        <v>100</v>
      </c>
    </row>
    <row r="63" spans="6:17" x14ac:dyDescent="0.15">
      <c r="K63" s="25"/>
      <c r="O63" s="34"/>
      <c r="P63" s="34"/>
    </row>
    <row r="65" spans="1:5" ht="11.25" customHeight="1" x14ac:dyDescent="0.15">
      <c r="C65" s="142"/>
      <c r="D65" s="142"/>
      <c r="E65" s="142"/>
    </row>
    <row r="66" spans="1:5" ht="11.25" customHeight="1" x14ac:dyDescent="0.15">
      <c r="B66" s="142"/>
      <c r="C66" s="142"/>
      <c r="D66" s="142"/>
      <c r="E66" s="142"/>
    </row>
    <row r="69" spans="1:5" ht="11.25" customHeight="1" x14ac:dyDescent="0.15">
      <c r="A69" s="49" t="s">
        <v>292</v>
      </c>
      <c r="B69" s="143" t="str">
        <f>"Projected values based on user inputs, "&amp;C11&amp;", 2016 to 2039"</f>
        <v>Projected values based on user inputs, Wales, 2016 to 2039</v>
      </c>
    </row>
    <row r="70" spans="1:5" ht="11.25" customHeight="1" x14ac:dyDescent="0.15">
      <c r="A70" s="49" t="s">
        <v>110</v>
      </c>
      <c r="B70" s="139" t="str">
        <f>"Estimated smoking prevalence projection, all persons aged 16+, "&amp;C11&amp;", "&amp;'WHS Calculations'!A8&amp;" to 2039"</f>
        <v>Estimated smoking prevalence projection, all persons aged 16+, Wales, 2004/05 to 2039</v>
      </c>
    </row>
    <row r="72" spans="1:5" x14ac:dyDescent="0.15">
      <c r="A72" s="139" t="s">
        <v>337</v>
      </c>
      <c r="B72" s="211" t="str">
        <f>"Welsh Health Survey reference rate in "&amp;A25&amp;""</f>
        <v>Welsh Health Survey reference rate in 2015</v>
      </c>
    </row>
  </sheetData>
  <mergeCells count="7">
    <mergeCell ref="U8:V8"/>
    <mergeCell ref="A8:C8"/>
    <mergeCell ref="F8:G8"/>
    <mergeCell ref="I8:J8"/>
    <mergeCell ref="L8:M8"/>
    <mergeCell ref="O8:P8"/>
    <mergeCell ref="R8:S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O47" sqref="O47"/>
    </sheetView>
  </sheetViews>
  <sheetFormatPr defaultRowHeight="15" x14ac:dyDescent="0.25"/>
  <cols>
    <col min="1" max="1" width="19.140625" style="122" customWidth="1"/>
    <col min="2" max="2" width="11" style="119" customWidth="1"/>
    <col min="3" max="3" width="9.85546875" style="119" customWidth="1"/>
    <col min="4" max="19" width="11.42578125" style="119" customWidth="1"/>
    <col min="20" max="21" width="8.5703125" style="119" customWidth="1"/>
    <col min="22" max="16384" width="9.140625" style="119"/>
  </cols>
  <sheetData>
    <row r="1" spans="1:12" x14ac:dyDescent="0.25">
      <c r="A1" s="117" t="s">
        <v>241</v>
      </c>
      <c r="B1" s="118"/>
      <c r="C1" s="118"/>
      <c r="D1" s="118"/>
      <c r="E1" s="118"/>
      <c r="F1" s="118"/>
      <c r="G1" s="118"/>
      <c r="H1" s="118"/>
      <c r="I1" s="118"/>
      <c r="J1" s="118"/>
      <c r="K1" s="118"/>
      <c r="L1" s="118"/>
    </row>
    <row r="3" spans="1:12" x14ac:dyDescent="0.25">
      <c r="A3" s="139"/>
      <c r="B3" s="49" t="s">
        <v>141</v>
      </c>
      <c r="C3" s="49" t="s">
        <v>242</v>
      </c>
    </row>
    <row r="4" spans="1:12" x14ac:dyDescent="0.25">
      <c r="A4" s="120" t="s">
        <v>129</v>
      </c>
      <c r="B4" s="121">
        <f>VLOOKUP('WHS Calculations'!$H$3,'HB pop aged 15'!$F$3:$G$10,2,FALSE)</f>
        <v>39187</v>
      </c>
      <c r="C4" s="121">
        <f>VLOOKUP('WHS Calculations'!$H$3,'HB pop 16+'!$F$3:$G$10,2,FALSE)</f>
        <v>2401193</v>
      </c>
      <c r="G4" s="55"/>
    </row>
    <row r="5" spans="1:12" x14ac:dyDescent="0.25">
      <c r="A5" s="120" t="s">
        <v>131</v>
      </c>
      <c r="B5" s="121">
        <f>VLOOKUP('WHS Calculations'!$H$3,'HB pop aged 15'!$F$11:$G$18,2,FALSE)</f>
        <v>40459</v>
      </c>
      <c r="C5" s="121">
        <f>VLOOKUP('WHS Calculations'!$H$3,'HB pop 16+'!$F$11:$G$18,2,FALSE)</f>
        <v>2421036</v>
      </c>
      <c r="G5" s="55"/>
    </row>
    <row r="6" spans="1:12" x14ac:dyDescent="0.25">
      <c r="A6" s="120" t="s">
        <v>132</v>
      </c>
      <c r="B6" s="121">
        <f>VLOOKUP('WHS Calculations'!$H$3,'HB pop aged 15'!$F$19:$G$26,2,FALSE)</f>
        <v>39961</v>
      </c>
      <c r="C6" s="121">
        <f>VLOOKUP('WHS Calculations'!$H$3,'HB pop 16+'!$F$19:$G$26,2,FALSE)</f>
        <v>2445244</v>
      </c>
      <c r="G6" s="55"/>
    </row>
    <row r="7" spans="1:12" x14ac:dyDescent="0.25">
      <c r="A7" s="120" t="s">
        <v>133</v>
      </c>
      <c r="B7" s="121">
        <f>VLOOKUP('WHS Calculations'!$H$3,'HB pop aged 15'!$F$27:$G$34,2,FALSE)</f>
        <v>38834</v>
      </c>
      <c r="C7" s="121">
        <f>VLOOKUP('WHS Calculations'!$H$3,'HB pop 16+'!$F$27:$G$34,2,FALSE)</f>
        <v>2466956</v>
      </c>
      <c r="G7" s="55"/>
    </row>
    <row r="8" spans="1:12" x14ac:dyDescent="0.25">
      <c r="A8" s="120" t="s">
        <v>134</v>
      </c>
      <c r="B8" s="121">
        <f>VLOOKUP('WHS Calculations'!$H$3,'HB pop aged 15'!$F$35:$G$42,2,FALSE)</f>
        <v>38859</v>
      </c>
      <c r="C8" s="121">
        <f>VLOOKUP('WHS Calculations'!$H$3,'HB pop 16+'!$F$35:$G$42,2,FALSE)</f>
        <v>2481907</v>
      </c>
      <c r="G8" s="55"/>
    </row>
    <row r="9" spans="1:12" x14ac:dyDescent="0.25">
      <c r="A9" s="120" t="s">
        <v>135</v>
      </c>
      <c r="B9" s="121">
        <f>VLOOKUP('WHS Calculations'!$H$3,'HB pop aged 15'!$F$43:$G$50,2,FALSE)</f>
        <v>37233</v>
      </c>
      <c r="C9" s="121">
        <f>VLOOKUP('WHS Calculations'!$H$3,'HB pop 16+'!$F$43:$G$50,2,FALSE)</f>
        <v>2494980</v>
      </c>
      <c r="G9" s="55"/>
    </row>
    <row r="10" spans="1:12" x14ac:dyDescent="0.25">
      <c r="A10" s="120" t="s">
        <v>136</v>
      </c>
      <c r="B10" s="121">
        <f>VLOOKUP('WHS Calculations'!$H$3,'HB pop aged 15'!$F$51:$G$58,2,FALSE)</f>
        <v>36945</v>
      </c>
      <c r="C10" s="121">
        <f>VLOOKUP('WHS Calculations'!$H$3,'HB pop 16+'!$F$51:$G$58,2,FALSE)</f>
        <v>2507917</v>
      </c>
      <c r="G10" s="55"/>
    </row>
    <row r="11" spans="1:12" x14ac:dyDescent="0.25">
      <c r="A11" s="120" t="s">
        <v>137</v>
      </c>
      <c r="B11" s="121">
        <f>VLOOKUP('WHS Calculations'!$H$3,'HB pop aged 15'!$F$59:$G$66,2,FALSE)</f>
        <v>37910</v>
      </c>
      <c r="C11" s="121">
        <f>VLOOKUP('WHS Calculations'!$H$3,'HB pop 16+'!$F$59:$G$66,2,FALSE)</f>
        <v>2517515</v>
      </c>
      <c r="G11" s="55"/>
    </row>
    <row r="12" spans="1:12" x14ac:dyDescent="0.25">
      <c r="A12" s="120" t="s">
        <v>138</v>
      </c>
      <c r="B12" s="121">
        <f>VLOOKUP('WHS Calculations'!$H$3,'HB pop aged 15'!$F$67:$G$74,2,FALSE)</f>
        <v>36420</v>
      </c>
      <c r="C12" s="121">
        <f>VLOOKUP('WHS Calculations'!$H$3,'HB pop 16+'!$F$67:$G$74,2,FALSE)</f>
        <v>2527247</v>
      </c>
      <c r="G12" s="55"/>
    </row>
    <row r="13" spans="1:12" x14ac:dyDescent="0.25">
      <c r="A13" s="120" t="s">
        <v>139</v>
      </c>
      <c r="B13" s="121">
        <f>VLOOKUP('WHS Calculations'!$H$3,'HB pop aged 15'!$F$75:$G$82,2,FALSE)</f>
        <v>35751</v>
      </c>
      <c r="C13" s="121">
        <f>VLOOKUP('WHS Calculations'!$H$3,'HB pop 16+'!$F$75:$G$82,2,FALSE)</f>
        <v>2537195</v>
      </c>
      <c r="G13" s="55"/>
    </row>
    <row r="14" spans="1:12" x14ac:dyDescent="0.25">
      <c r="A14" s="120" t="s">
        <v>140</v>
      </c>
      <c r="B14" s="121">
        <f>VLOOKUP('WHS Calculations'!$H$3,'HB pop aged 15'!$F$83:$G$90,2,FALSE)</f>
        <v>34611</v>
      </c>
      <c r="C14" s="121">
        <f>VLOOKUP('WHS Calculations'!$H$3,'HB pop 16+'!$F$83:$G$90,2,FALSE)</f>
        <v>2543797</v>
      </c>
      <c r="G14" s="55"/>
    </row>
    <row r="15" spans="1:12" x14ac:dyDescent="0.25">
      <c r="A15" s="1">
        <v>2016</v>
      </c>
      <c r="B15" s="125">
        <f>VLOOKUP('WHS Calculations'!$H$3,'HB pop aged 15'!$F$91:$G$98,2,FALSE)</f>
        <v>33896</v>
      </c>
      <c r="C15" s="125">
        <f>VLOOKUP('WHS Calculations'!$H$3,'HB pop 16+'!$F$91:$G$98,2,FALSE)</f>
        <v>2556071</v>
      </c>
      <c r="D15" s="118"/>
    </row>
    <row r="16" spans="1:12" x14ac:dyDescent="0.25">
      <c r="A16" s="139">
        <v>2017</v>
      </c>
      <c r="B16" s="139">
        <f>VLOOKUP('WHS Calculations'!$H$3,'HB pop projections'!$A$2:$AB$9,D16,FALSE)</f>
        <v>32435</v>
      </c>
      <c r="C16" s="139">
        <f>VLOOKUP('WHS Calculations'!$H$3,'HB pop projections'!$A$11:$AB$18,D16,FALSE)</f>
        <v>2563180</v>
      </c>
      <c r="D16" s="119">
        <v>6</v>
      </c>
    </row>
    <row r="17" spans="1:4" x14ac:dyDescent="0.25">
      <c r="A17" s="139">
        <v>2018</v>
      </c>
      <c r="B17" s="139">
        <f>VLOOKUP('WHS Calculations'!$H$3,'HB pop projections'!$A$2:$AB$9,D17,FALSE)</f>
        <v>32525</v>
      </c>
      <c r="C17" s="139">
        <f>VLOOKUP('WHS Calculations'!$H$3,'HB pop projections'!$A$11:$AB$18,D17,FALSE)</f>
        <v>2569264</v>
      </c>
      <c r="D17" s="119">
        <v>7</v>
      </c>
    </row>
    <row r="18" spans="1:4" x14ac:dyDescent="0.25">
      <c r="A18" s="139">
        <v>2019</v>
      </c>
      <c r="B18" s="139">
        <f>VLOOKUP('WHS Calculations'!$H$3,'HB pop projections'!$A$2:$AB$9,D18,FALSE)</f>
        <v>33212</v>
      </c>
      <c r="C18" s="139">
        <f>VLOOKUP('WHS Calculations'!$H$3,'HB pop projections'!$A$11:$AB$18,D18,FALSE)</f>
        <v>2575200</v>
      </c>
      <c r="D18" s="119">
        <v>8</v>
      </c>
    </row>
    <row r="19" spans="1:4" x14ac:dyDescent="0.25">
      <c r="A19" s="139">
        <v>2020</v>
      </c>
      <c r="B19" s="139">
        <f>VLOOKUP('WHS Calculations'!$H$3,'HB pop projections'!$A$2:$AB$9,D19,FALSE)</f>
        <v>34190</v>
      </c>
      <c r="C19" s="139">
        <f>VLOOKUP('WHS Calculations'!$H$3,'HB pop projections'!$A$11:$AB$18,D19,FALSE)</f>
        <v>2581373</v>
      </c>
      <c r="D19" s="119">
        <v>9</v>
      </c>
    </row>
    <row r="20" spans="1:4" x14ac:dyDescent="0.25">
      <c r="A20" s="139">
        <v>2021</v>
      </c>
      <c r="B20" s="139">
        <f>VLOOKUP('WHS Calculations'!$H$3,'HB pop projections'!$A$2:$AB$9,D20,FALSE)</f>
        <v>35456</v>
      </c>
      <c r="C20" s="139">
        <f>VLOOKUP('WHS Calculations'!$H$3,'HB pop projections'!$A$11:$AB$18,D20,FALSE)</f>
        <v>2588257</v>
      </c>
      <c r="D20" s="119">
        <v>10</v>
      </c>
    </row>
    <row r="21" spans="1:4" x14ac:dyDescent="0.25">
      <c r="A21" s="139">
        <v>2022</v>
      </c>
      <c r="B21" s="139">
        <f>VLOOKUP('WHS Calculations'!$H$3,'HB pop projections'!$A$2:$AB$9,D21,FALSE)</f>
        <v>35995</v>
      </c>
      <c r="C21" s="139">
        <f>VLOOKUP('WHS Calculations'!$H$3,'HB pop projections'!$A$11:$AB$18,D21,FALSE)</f>
        <v>2596328</v>
      </c>
      <c r="D21" s="119">
        <v>11</v>
      </c>
    </row>
    <row r="22" spans="1:4" x14ac:dyDescent="0.25">
      <c r="A22" s="139">
        <v>2023</v>
      </c>
      <c r="B22" s="139">
        <f>VLOOKUP('WHS Calculations'!$H$3,'HB pop projections'!$A$2:$AB$9,D22,FALSE)</f>
        <v>37427</v>
      </c>
      <c r="C22" s="139">
        <f>VLOOKUP('WHS Calculations'!$H$3,'HB pop projections'!$A$11:$AB$18,D22,FALSE)</f>
        <v>2604892</v>
      </c>
      <c r="D22" s="119">
        <v>12</v>
      </c>
    </row>
    <row r="23" spans="1:4" x14ac:dyDescent="0.25">
      <c r="A23" s="139">
        <v>2024</v>
      </c>
      <c r="B23" s="139">
        <f>VLOOKUP('WHS Calculations'!$H$3,'HB pop projections'!$A$2:$AB$9,D23,FALSE)</f>
        <v>36792</v>
      </c>
      <c r="C23" s="139">
        <f>VLOOKUP('WHS Calculations'!$H$3,'HB pop projections'!$A$11:$AB$18,D23,FALSE)</f>
        <v>2614880</v>
      </c>
      <c r="D23" s="119">
        <v>13</v>
      </c>
    </row>
    <row r="24" spans="1:4" x14ac:dyDescent="0.25">
      <c r="A24" s="139">
        <v>2025</v>
      </c>
      <c r="B24" s="139">
        <f>VLOOKUP('WHS Calculations'!$H$3,'HB pop projections'!$A$2:$AB$9,D24,FALSE)</f>
        <v>37364</v>
      </c>
      <c r="C24" s="139">
        <f>VLOOKUP('WHS Calculations'!$H$3,'HB pop projections'!$A$11:$AB$18,D24,FALSE)</f>
        <v>2624233</v>
      </c>
      <c r="D24" s="119">
        <v>14</v>
      </c>
    </row>
    <row r="25" spans="1:4" x14ac:dyDescent="0.25">
      <c r="A25" s="139">
        <v>2026</v>
      </c>
      <c r="B25" s="139">
        <f>VLOOKUP('WHS Calculations'!$H$3,'HB pop projections'!$A$2:$AB$9,D25,FALSE)</f>
        <v>38201</v>
      </c>
      <c r="C25" s="139">
        <f>VLOOKUP('WHS Calculations'!$H$3,'HB pop projections'!$A$11:$AB$18,D25,FALSE)</f>
        <v>2634085</v>
      </c>
      <c r="D25" s="119">
        <v>15</v>
      </c>
    </row>
    <row r="26" spans="1:4" x14ac:dyDescent="0.25">
      <c r="A26" s="139">
        <v>2027</v>
      </c>
      <c r="B26" s="139">
        <f>VLOOKUP('WHS Calculations'!$H$3,'HB pop projections'!$A$2:$AB$9,D26,FALSE)</f>
        <v>37446</v>
      </c>
      <c r="C26" s="139">
        <f>VLOOKUP('WHS Calculations'!$H$3,'HB pop projections'!$A$11:$AB$18,D26,FALSE)</f>
        <v>2644589</v>
      </c>
      <c r="D26" s="119">
        <v>16</v>
      </c>
    </row>
    <row r="27" spans="1:4" x14ac:dyDescent="0.25">
      <c r="A27" s="139">
        <v>2028</v>
      </c>
      <c r="B27" s="139">
        <f>VLOOKUP('WHS Calculations'!$H$3,'HB pop projections'!$A$2:$AB$9,D27,FALSE)</f>
        <v>36258</v>
      </c>
      <c r="C27" s="139">
        <f>VLOOKUP('WHS Calculations'!$H$3,'HB pop projections'!$A$11:$AB$18,D27,FALSE)</f>
        <v>2654083</v>
      </c>
      <c r="D27" s="119">
        <v>17</v>
      </c>
    </row>
    <row r="28" spans="1:4" x14ac:dyDescent="0.25">
      <c r="A28" s="139">
        <v>2029</v>
      </c>
      <c r="B28" s="139">
        <f>VLOOKUP('WHS Calculations'!$H$3,'HB pop projections'!$A$2:$AB$9,D28,FALSE)</f>
        <v>35315</v>
      </c>
      <c r="C28" s="139">
        <f>VLOOKUP('WHS Calculations'!$H$3,'HB pop projections'!$A$11:$AB$18,D28,FALSE)</f>
        <v>2661987</v>
      </c>
      <c r="D28" s="119">
        <v>18</v>
      </c>
    </row>
    <row r="29" spans="1:4" x14ac:dyDescent="0.25">
      <c r="A29" s="139">
        <v>2030</v>
      </c>
      <c r="B29" s="139">
        <f>VLOOKUP('WHS Calculations'!$H$3,'HB pop projections'!$A$2:$AB$9,D29,FALSE)</f>
        <v>35085</v>
      </c>
      <c r="C29" s="139">
        <f>VLOOKUP('WHS Calculations'!$H$3,'HB pop projections'!$A$11:$AB$18,D29,FALSE)</f>
        <v>2668517</v>
      </c>
      <c r="D29" s="119">
        <v>19</v>
      </c>
    </row>
    <row r="30" spans="1:4" x14ac:dyDescent="0.25">
      <c r="A30" s="139">
        <v>2031</v>
      </c>
      <c r="B30" s="139">
        <f>VLOOKUP('WHS Calculations'!$H$3,'HB pop projections'!$A$2:$AB$9,D30,FALSE)</f>
        <v>35271</v>
      </c>
      <c r="C30" s="139">
        <f>VLOOKUP('WHS Calculations'!$H$3,'HB pop projections'!$A$11:$AB$18,D30,FALSE)</f>
        <v>2674378</v>
      </c>
      <c r="D30" s="119">
        <v>20</v>
      </c>
    </row>
    <row r="31" spans="1:4" x14ac:dyDescent="0.25">
      <c r="A31" s="139">
        <v>2032</v>
      </c>
      <c r="B31" s="139">
        <f>VLOOKUP('WHS Calculations'!$H$3,'HB pop projections'!$A$2:$AB$9,D31,FALSE)</f>
        <v>35527</v>
      </c>
      <c r="C31" s="139">
        <f>VLOOKUP('WHS Calculations'!$H$3,'HB pop projections'!$A$11:$AB$18,D31,FALSE)</f>
        <v>2679892</v>
      </c>
      <c r="D31" s="119">
        <v>21</v>
      </c>
    </row>
    <row r="32" spans="1:4" x14ac:dyDescent="0.25">
      <c r="A32" s="139">
        <v>2033</v>
      </c>
      <c r="B32" s="139">
        <f>VLOOKUP('WHS Calculations'!$H$3,'HB pop projections'!$A$2:$AB$9,D32,FALSE)</f>
        <v>35770</v>
      </c>
      <c r="C32" s="139">
        <f>VLOOKUP('WHS Calculations'!$H$3,'HB pop projections'!$A$11:$AB$18,D32,FALSE)</f>
        <v>2685097</v>
      </c>
      <c r="D32" s="119">
        <v>22</v>
      </c>
    </row>
    <row r="33" spans="1:4" x14ac:dyDescent="0.25">
      <c r="A33" s="139">
        <v>2034</v>
      </c>
      <c r="B33" s="139">
        <f>VLOOKUP('WHS Calculations'!$H$3,'HB pop projections'!$A$2:$AB$9,D33,FALSE)</f>
        <v>36080</v>
      </c>
      <c r="C33" s="139">
        <f>VLOOKUP('WHS Calculations'!$H$3,'HB pop projections'!$A$11:$AB$18,D33,FALSE)</f>
        <v>2689943</v>
      </c>
      <c r="D33" s="119">
        <v>23</v>
      </c>
    </row>
    <row r="34" spans="1:4" x14ac:dyDescent="0.25">
      <c r="A34" s="139">
        <v>2035</v>
      </c>
      <c r="B34" s="139">
        <f>VLOOKUP('WHS Calculations'!$H$3,'HB pop projections'!$A$2:$AB$9,D34,FALSE)</f>
        <v>36378</v>
      </c>
      <c r="C34" s="139">
        <f>VLOOKUP('WHS Calculations'!$H$3,'HB pop projections'!$A$11:$AB$18,D34,FALSE)</f>
        <v>2694618</v>
      </c>
      <c r="D34" s="119">
        <v>24</v>
      </c>
    </row>
    <row r="35" spans="1:4" x14ac:dyDescent="0.25">
      <c r="A35" s="139">
        <v>2036</v>
      </c>
      <c r="B35" s="139">
        <f>VLOOKUP('WHS Calculations'!$H$3,'HB pop projections'!$A$2:$AB$9,D35,FALSE)</f>
        <v>36660</v>
      </c>
      <c r="C35" s="139">
        <f>VLOOKUP('WHS Calculations'!$H$3,'HB pop projections'!$A$11:$AB$18,D35,FALSE)</f>
        <v>2699210</v>
      </c>
      <c r="D35" s="119">
        <v>25</v>
      </c>
    </row>
    <row r="36" spans="1:4" x14ac:dyDescent="0.25">
      <c r="A36" s="139">
        <v>2037</v>
      </c>
      <c r="B36" s="139">
        <f>VLOOKUP('WHS Calculations'!$H$3,'HB pop projections'!$A$2:$AB$9,D36,FALSE)</f>
        <v>36943</v>
      </c>
      <c r="C36" s="139">
        <f>VLOOKUP('WHS Calculations'!$H$3,'HB pop projections'!$A$11:$AB$18,D36,FALSE)</f>
        <v>2703757</v>
      </c>
      <c r="D36" s="119">
        <v>26</v>
      </c>
    </row>
    <row r="37" spans="1:4" x14ac:dyDescent="0.25">
      <c r="A37" s="139">
        <v>2038</v>
      </c>
      <c r="B37" s="139">
        <f>VLOOKUP('WHS Calculations'!$H$3,'HB pop projections'!$A$2:$AB$9,D37,FALSE)</f>
        <v>37086</v>
      </c>
      <c r="C37" s="139">
        <f>VLOOKUP('WHS Calculations'!$H$3,'HB pop projections'!$A$11:$AB$18,D37,FALSE)</f>
        <v>2708294</v>
      </c>
      <c r="D37" s="119">
        <v>27</v>
      </c>
    </row>
    <row r="38" spans="1:4" x14ac:dyDescent="0.25">
      <c r="A38" s="139">
        <v>2039</v>
      </c>
      <c r="B38" s="139">
        <f>VLOOKUP('WHS Calculations'!$H$3,'HB pop projections'!$A$2:$AB$9,D38,FALSE)</f>
        <v>37078</v>
      </c>
      <c r="C38" s="139">
        <f>VLOOKUP('WHS Calculations'!$H$3,'HB pop projections'!$A$11:$AB$18,D38,FALSE)</f>
        <v>2712678</v>
      </c>
      <c r="D38" s="119">
        <v>28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5"/>
  <sheetViews>
    <sheetView workbookViewId="0">
      <selection activeCell="O47" sqref="O47"/>
    </sheetView>
  </sheetViews>
  <sheetFormatPr defaultRowHeight="11.25" x14ac:dyDescent="0.15"/>
  <cols>
    <col min="1" max="1" width="9.140625" style="139"/>
    <col min="2" max="2" width="14.7109375" style="139" bestFit="1" customWidth="1"/>
    <col min="3" max="3" width="9.140625" style="139"/>
    <col min="4" max="4" width="18.140625" style="139" customWidth="1"/>
    <col min="5" max="6" width="13" style="139" customWidth="1"/>
    <col min="7" max="7" width="13.28515625" style="139" customWidth="1"/>
    <col min="8" max="8" width="16.5703125" style="139" customWidth="1"/>
    <col min="9" max="11" width="11.85546875" style="139" bestFit="1" customWidth="1"/>
    <col min="12" max="12" width="15.7109375" style="139" bestFit="1" customWidth="1"/>
    <col min="13" max="13" width="7.42578125" style="139" customWidth="1"/>
    <col min="14" max="14" width="8.85546875" style="139" bestFit="1" customWidth="1"/>
    <col min="15" max="15" width="10" style="139" customWidth="1"/>
    <col min="16" max="16" width="7.7109375" style="139" customWidth="1"/>
    <col min="17" max="17" width="14.28515625" style="139" customWidth="1"/>
    <col min="18" max="18" width="9.140625" style="139"/>
    <col min="19" max="20" width="12" style="139" customWidth="1"/>
    <col min="21" max="21" width="14.85546875" style="139" customWidth="1"/>
    <col min="22" max="22" width="11.7109375" style="139" bestFit="1" customWidth="1"/>
    <col min="23" max="24" width="11.7109375" style="139" customWidth="1"/>
    <col min="25" max="16384" width="9.140625" style="139"/>
  </cols>
  <sheetData>
    <row r="1" spans="1:25" x14ac:dyDescent="0.15">
      <c r="D1" s="1" t="s">
        <v>111</v>
      </c>
      <c r="E1" s="1"/>
      <c r="F1" s="1"/>
      <c r="G1" s="1"/>
      <c r="H1" s="1"/>
      <c r="I1" s="1"/>
      <c r="J1" s="1"/>
      <c r="K1" s="1"/>
      <c r="L1" s="1"/>
      <c r="M1" s="1"/>
      <c r="N1" s="1"/>
      <c r="O1" s="1"/>
      <c r="P1" s="1"/>
      <c r="Q1" s="1"/>
    </row>
    <row r="3" spans="1:25" x14ac:dyDescent="0.15">
      <c r="D3" s="49" t="s">
        <v>112</v>
      </c>
      <c r="H3" s="139" t="str">
        <f>'WHS Controls'!B11</f>
        <v>Wales</v>
      </c>
      <c r="S3" s="49" t="s">
        <v>269</v>
      </c>
      <c r="T3" s="49"/>
    </row>
    <row r="5" spans="1:25" x14ac:dyDescent="0.15">
      <c r="D5" s="2"/>
      <c r="E5" s="205" t="s">
        <v>113</v>
      </c>
      <c r="F5" s="206"/>
      <c r="G5" s="205" t="s">
        <v>114</v>
      </c>
      <c r="H5" s="206"/>
      <c r="I5" s="205" t="s">
        <v>115</v>
      </c>
      <c r="J5" s="207"/>
      <c r="K5" s="207"/>
      <c r="L5" s="206"/>
      <c r="M5" s="205" t="s">
        <v>116</v>
      </c>
      <c r="N5" s="207"/>
      <c r="O5" s="207"/>
      <c r="P5" s="206"/>
      <c r="Q5" s="52" t="s">
        <v>117</v>
      </c>
      <c r="S5" s="139" t="s">
        <v>270</v>
      </c>
      <c r="T5" s="139" t="s">
        <v>329</v>
      </c>
      <c r="U5" s="139" t="s">
        <v>272</v>
      </c>
      <c r="V5" s="139" t="s">
        <v>288</v>
      </c>
      <c r="X5" s="139" t="s">
        <v>289</v>
      </c>
    </row>
    <row r="6" spans="1:25" x14ac:dyDescent="0.15">
      <c r="C6" s="202" t="s">
        <v>118</v>
      </c>
      <c r="D6" s="202"/>
      <c r="E6" s="145">
        <v>15</v>
      </c>
      <c r="F6" s="145" t="s">
        <v>119</v>
      </c>
      <c r="G6" s="202" t="s">
        <v>119</v>
      </c>
      <c r="H6" s="202"/>
      <c r="I6" s="203" t="s">
        <v>120</v>
      </c>
      <c r="J6" s="203"/>
      <c r="K6" s="203" t="s">
        <v>121</v>
      </c>
      <c r="L6" s="203"/>
      <c r="M6" s="204" t="s">
        <v>122</v>
      </c>
      <c r="N6" s="204"/>
      <c r="O6" s="204" t="s">
        <v>123</v>
      </c>
      <c r="P6" s="204"/>
      <c r="Q6" s="2"/>
    </row>
    <row r="7" spans="1:25" x14ac:dyDescent="0.15">
      <c r="A7" s="139" t="s">
        <v>124</v>
      </c>
      <c r="C7" s="139" t="s">
        <v>35</v>
      </c>
      <c r="D7" s="145" t="s">
        <v>125</v>
      </c>
      <c r="E7" s="145" t="s">
        <v>126</v>
      </c>
      <c r="F7" s="145" t="s">
        <v>126</v>
      </c>
      <c r="G7" s="145" t="s">
        <v>127</v>
      </c>
      <c r="H7" s="145" t="s">
        <v>126</v>
      </c>
      <c r="I7" s="145" t="s">
        <v>127</v>
      </c>
      <c r="J7" s="145" t="s">
        <v>126</v>
      </c>
      <c r="K7" s="145" t="s">
        <v>127</v>
      </c>
      <c r="L7" s="145" t="s">
        <v>126</v>
      </c>
      <c r="M7" s="145" t="s">
        <v>127</v>
      </c>
      <c r="N7" s="145" t="s">
        <v>126</v>
      </c>
      <c r="O7" s="145" t="s">
        <v>127</v>
      </c>
      <c r="P7" s="145" t="s">
        <v>126</v>
      </c>
      <c r="Q7" s="145" t="s">
        <v>126</v>
      </c>
      <c r="U7" s="54"/>
    </row>
    <row r="8" spans="1:25" x14ac:dyDescent="0.15">
      <c r="A8" s="139" t="str">
        <f>IF($H$3="Wales",C8,B8)</f>
        <v>2004/05</v>
      </c>
      <c r="B8" s="139" t="s">
        <v>273</v>
      </c>
      <c r="C8" s="55" t="s">
        <v>128</v>
      </c>
      <c r="D8" s="145" t="s">
        <v>129</v>
      </c>
      <c r="E8" s="145"/>
      <c r="F8" s="56">
        <f>'WHS Projections data for calcs'!C4</f>
        <v>2401193</v>
      </c>
      <c r="G8" s="57">
        <f>VLOOKUP($H$3,'WHS Health Board Smoking data'!$A$30:$N$37,4,FALSE)</f>
        <v>26.997579999999999</v>
      </c>
      <c r="H8" s="56">
        <f>F8*(G8/100)</f>
        <v>648264.00112939999</v>
      </c>
      <c r="I8" s="145"/>
      <c r="J8" s="145"/>
      <c r="K8" s="145"/>
      <c r="L8" s="145"/>
      <c r="M8" s="145"/>
      <c r="N8" s="145"/>
      <c r="O8" s="145"/>
      <c r="P8" s="145"/>
      <c r="Q8" s="58">
        <f>H8-J8-L8+N8+P8</f>
        <v>648264.00112939999</v>
      </c>
      <c r="S8" s="25">
        <f>G8</f>
        <v>26.997579999999999</v>
      </c>
      <c r="T8" s="25"/>
      <c r="U8" s="54"/>
      <c r="X8" s="141" t="str">
        <f t="shared" ref="X8:X42" si="0">IF(Y8&lt;=16,A8,"")</f>
        <v/>
      </c>
      <c r="Y8" s="57">
        <f>G8</f>
        <v>26.997579999999999</v>
      </c>
    </row>
    <row r="9" spans="1:25" x14ac:dyDescent="0.15">
      <c r="A9" s="139" t="str">
        <f t="shared" ref="A9:A18" si="1">IF($H$3="Wales",C9,B9)</f>
        <v>2005/06</v>
      </c>
      <c r="B9" s="139" t="s">
        <v>274</v>
      </c>
      <c r="C9" s="139" t="s">
        <v>130</v>
      </c>
      <c r="D9" s="145" t="s">
        <v>131</v>
      </c>
      <c r="E9" s="145"/>
      <c r="F9" s="56">
        <f>'WHS Projections data for calcs'!C5</f>
        <v>2421036</v>
      </c>
      <c r="G9" s="57">
        <f>VLOOKUP($H$3,'WHS Health Board Smoking data'!$A$30:$N$37,5,FALSE)</f>
        <v>26.5778</v>
      </c>
      <c r="H9" s="56">
        <f t="shared" ref="H9:H16" si="2">F9*(G9/100)</f>
        <v>643458.10600800009</v>
      </c>
      <c r="I9" s="145"/>
      <c r="J9" s="145"/>
      <c r="K9" s="145"/>
      <c r="L9" s="145"/>
      <c r="M9" s="145"/>
      <c r="N9" s="145"/>
      <c r="O9" s="145"/>
      <c r="P9" s="145"/>
      <c r="Q9" s="58">
        <f t="shared" ref="Q9:Q16" si="3">H9-J9-L9+N9+P9</f>
        <v>643458.10600800009</v>
      </c>
      <c r="S9" s="25">
        <f t="shared" ref="S9:S17" si="4">G9</f>
        <v>26.5778</v>
      </c>
      <c r="T9" s="25"/>
      <c r="U9" s="54"/>
      <c r="X9" s="141" t="str">
        <f t="shared" si="0"/>
        <v/>
      </c>
      <c r="Y9" s="57">
        <f t="shared" ref="Y9:Y42" si="5">G9</f>
        <v>26.5778</v>
      </c>
    </row>
    <row r="10" spans="1:25" x14ac:dyDescent="0.15">
      <c r="A10" s="139">
        <f t="shared" si="1"/>
        <v>2007</v>
      </c>
      <c r="B10" s="138" t="s">
        <v>283</v>
      </c>
      <c r="C10" s="139">
        <v>2007</v>
      </c>
      <c r="D10" s="145" t="s">
        <v>132</v>
      </c>
      <c r="E10" s="145"/>
      <c r="F10" s="56">
        <f>'WHS Projections data for calcs'!C6</f>
        <v>2445244</v>
      </c>
      <c r="G10" s="57">
        <f>VLOOKUP($H$3,'WHS Health Board Smoking data'!$A$30:$N$37,6,FALSE)</f>
        <v>24.715060000000001</v>
      </c>
      <c r="H10" s="56">
        <f t="shared" si="2"/>
        <v>604343.52174640005</v>
      </c>
      <c r="I10" s="145"/>
      <c r="J10" s="145"/>
      <c r="K10" s="145"/>
      <c r="L10" s="145"/>
      <c r="M10" s="145"/>
      <c r="N10" s="145"/>
      <c r="O10" s="145"/>
      <c r="P10" s="145"/>
      <c r="Q10" s="58">
        <f t="shared" si="3"/>
        <v>604343.52174640005</v>
      </c>
      <c r="S10" s="25">
        <f t="shared" si="4"/>
        <v>24.715060000000001</v>
      </c>
      <c r="T10" s="25"/>
      <c r="U10" s="54"/>
      <c r="X10" s="141" t="str">
        <f t="shared" si="0"/>
        <v/>
      </c>
      <c r="Y10" s="57">
        <f t="shared" si="5"/>
        <v>24.715060000000001</v>
      </c>
    </row>
    <row r="11" spans="1:25" x14ac:dyDescent="0.15">
      <c r="A11" s="139">
        <f t="shared" si="1"/>
        <v>2008</v>
      </c>
      <c r="B11" s="139" t="s">
        <v>275</v>
      </c>
      <c r="C11" s="139">
        <v>2008</v>
      </c>
      <c r="D11" s="145" t="s">
        <v>133</v>
      </c>
      <c r="E11" s="145"/>
      <c r="F11" s="56">
        <f>'WHS Projections data for calcs'!C7</f>
        <v>2466956</v>
      </c>
      <c r="G11" s="57">
        <f>VLOOKUP($H$3,'WHS Health Board Smoking data'!$A$30:$N$37,7,FALSE)</f>
        <v>23.759169999999997</v>
      </c>
      <c r="H11" s="56">
        <f t="shared" si="2"/>
        <v>586128.26986519992</v>
      </c>
      <c r="I11" s="145"/>
      <c r="J11" s="145"/>
      <c r="K11" s="145"/>
      <c r="L11" s="145"/>
      <c r="M11" s="145"/>
      <c r="N11" s="145"/>
      <c r="O11" s="145"/>
      <c r="P11" s="145"/>
      <c r="Q11" s="58">
        <f t="shared" si="3"/>
        <v>586128.26986519992</v>
      </c>
      <c r="S11" s="25">
        <f t="shared" si="4"/>
        <v>23.759169999999997</v>
      </c>
      <c r="T11" s="25"/>
      <c r="U11" s="54"/>
      <c r="X11" s="141" t="str">
        <f t="shared" si="0"/>
        <v/>
      </c>
      <c r="Y11" s="57">
        <f t="shared" si="5"/>
        <v>23.759169999999997</v>
      </c>
    </row>
    <row r="12" spans="1:25" x14ac:dyDescent="0.15">
      <c r="A12" s="139">
        <f t="shared" si="1"/>
        <v>2009</v>
      </c>
      <c r="B12" s="139" t="s">
        <v>276</v>
      </c>
      <c r="C12" s="139">
        <v>2009</v>
      </c>
      <c r="D12" s="145" t="s">
        <v>134</v>
      </c>
      <c r="E12" s="145"/>
      <c r="F12" s="56">
        <f>'WHS Projections data for calcs'!C8</f>
        <v>2481907</v>
      </c>
      <c r="G12" s="57">
        <f>VLOOKUP($H$3,'WHS Health Board Smoking data'!$A$30:$N$37,8,FALSE)</f>
        <v>23.720800000000001</v>
      </c>
      <c r="H12" s="56">
        <f t="shared" si="2"/>
        <v>588728.19565600005</v>
      </c>
      <c r="I12" s="145"/>
      <c r="J12" s="145"/>
      <c r="K12" s="145"/>
      <c r="L12" s="145"/>
      <c r="M12" s="145"/>
      <c r="N12" s="145"/>
      <c r="O12" s="145"/>
      <c r="P12" s="145"/>
      <c r="Q12" s="58">
        <f>H12-J12-L12+N12+P12</f>
        <v>588728.19565600005</v>
      </c>
      <c r="S12" s="25">
        <f t="shared" si="4"/>
        <v>23.720800000000001</v>
      </c>
      <c r="T12" s="25"/>
      <c r="U12" s="54"/>
      <c r="X12" s="141" t="str">
        <f t="shared" si="0"/>
        <v/>
      </c>
      <c r="Y12" s="57">
        <f t="shared" si="5"/>
        <v>23.720800000000001</v>
      </c>
    </row>
    <row r="13" spans="1:25" x14ac:dyDescent="0.15">
      <c r="A13" s="139">
        <f t="shared" si="1"/>
        <v>2010</v>
      </c>
      <c r="B13" s="139" t="s">
        <v>277</v>
      </c>
      <c r="C13" s="139">
        <v>2010</v>
      </c>
      <c r="D13" s="145" t="s">
        <v>135</v>
      </c>
      <c r="E13" s="145"/>
      <c r="F13" s="56">
        <f>'WHS Projections data for calcs'!C9</f>
        <v>2494980</v>
      </c>
      <c r="G13" s="57">
        <f>VLOOKUP($H$3,'WHS Health Board Smoking data'!$A$30:$N$37,9,FALSE)</f>
        <v>23.484580000000001</v>
      </c>
      <c r="H13" s="56">
        <f t="shared" si="2"/>
        <v>585935.57408400008</v>
      </c>
      <c r="I13" s="145"/>
      <c r="J13" s="145"/>
      <c r="K13" s="145"/>
      <c r="L13" s="145"/>
      <c r="M13" s="145"/>
      <c r="N13" s="145"/>
      <c r="O13" s="145"/>
      <c r="P13" s="145"/>
      <c r="Q13" s="58">
        <f t="shared" si="3"/>
        <v>585935.57408400008</v>
      </c>
      <c r="S13" s="25">
        <f t="shared" si="4"/>
        <v>23.484580000000001</v>
      </c>
      <c r="T13" s="25"/>
      <c r="U13" s="54"/>
      <c r="X13" s="141" t="str">
        <f t="shared" si="0"/>
        <v/>
      </c>
      <c r="Y13" s="57">
        <f t="shared" si="5"/>
        <v>23.484580000000001</v>
      </c>
    </row>
    <row r="14" spans="1:25" x14ac:dyDescent="0.15">
      <c r="A14" s="139">
        <f t="shared" si="1"/>
        <v>2011</v>
      </c>
      <c r="B14" s="139" t="s">
        <v>278</v>
      </c>
      <c r="C14" s="139">
        <v>2011</v>
      </c>
      <c r="D14" s="145" t="s">
        <v>136</v>
      </c>
      <c r="E14" s="145"/>
      <c r="F14" s="56">
        <f>'WHS Projections data for calcs'!C10</f>
        <v>2507917</v>
      </c>
      <c r="G14" s="57">
        <f>VLOOKUP($H$3,'WHS Health Board Smoking data'!$A$30:$N$37,10,FALSE)</f>
        <v>22.849610000000002</v>
      </c>
      <c r="H14" s="56">
        <f>F14*(G14/100)</f>
        <v>573049.2536237</v>
      </c>
      <c r="I14" s="145"/>
      <c r="J14" s="145"/>
      <c r="K14" s="145"/>
      <c r="L14" s="145"/>
      <c r="M14" s="145"/>
      <c r="N14" s="145"/>
      <c r="O14" s="145"/>
      <c r="P14" s="145"/>
      <c r="Q14" s="58">
        <f t="shared" si="3"/>
        <v>573049.2536237</v>
      </c>
      <c r="S14" s="25">
        <f t="shared" si="4"/>
        <v>22.849610000000002</v>
      </c>
      <c r="T14" s="25"/>
      <c r="U14" s="54"/>
      <c r="X14" s="141" t="str">
        <f t="shared" si="0"/>
        <v/>
      </c>
      <c r="Y14" s="57">
        <f t="shared" si="5"/>
        <v>22.849610000000002</v>
      </c>
    </row>
    <row r="15" spans="1:25" x14ac:dyDescent="0.15">
      <c r="A15" s="139">
        <f t="shared" si="1"/>
        <v>2012</v>
      </c>
      <c r="B15" s="139" t="s">
        <v>279</v>
      </c>
      <c r="C15" s="139">
        <v>2012</v>
      </c>
      <c r="D15" s="145" t="s">
        <v>137</v>
      </c>
      <c r="E15" s="145"/>
      <c r="F15" s="56">
        <f>'WHS Projections data for calcs'!C11</f>
        <v>2517515</v>
      </c>
      <c r="G15" s="57">
        <f>VLOOKUP($H$3,'WHS Health Board Smoking data'!$A$30:$N$37,11,FALSE)</f>
        <v>22.618009999999998</v>
      </c>
      <c r="H15" s="56">
        <f t="shared" si="2"/>
        <v>569411.79445149994</v>
      </c>
      <c r="I15" s="145"/>
      <c r="J15" s="145"/>
      <c r="K15" s="145"/>
      <c r="L15" s="145"/>
      <c r="M15" s="145"/>
      <c r="N15" s="145"/>
      <c r="O15" s="145"/>
      <c r="P15" s="145"/>
      <c r="Q15" s="58">
        <f t="shared" si="3"/>
        <v>569411.79445149994</v>
      </c>
      <c r="S15" s="25">
        <f t="shared" si="4"/>
        <v>22.618009999999998</v>
      </c>
      <c r="T15" s="25"/>
      <c r="U15" s="54"/>
      <c r="X15" s="141" t="str">
        <f t="shared" si="0"/>
        <v/>
      </c>
      <c r="Y15" s="57">
        <f t="shared" si="5"/>
        <v>22.618009999999998</v>
      </c>
    </row>
    <row r="16" spans="1:25" x14ac:dyDescent="0.15">
      <c r="A16" s="139">
        <f t="shared" si="1"/>
        <v>2013</v>
      </c>
      <c r="B16" s="139" t="s">
        <v>280</v>
      </c>
      <c r="C16" s="139">
        <v>2013</v>
      </c>
      <c r="D16" s="145" t="s">
        <v>138</v>
      </c>
      <c r="E16" s="145"/>
      <c r="F16" s="56">
        <f>'WHS Projections data for calcs'!C12</f>
        <v>2527247</v>
      </c>
      <c r="G16" s="57">
        <f>VLOOKUP($H$3,'WHS Health Board Smoking data'!$A$30:$N$37,12,FALSE)</f>
        <v>21.922779999999999</v>
      </c>
      <c r="H16" s="56">
        <f t="shared" si="2"/>
        <v>554042.79986659996</v>
      </c>
      <c r="I16" s="145"/>
      <c r="J16" s="145"/>
      <c r="K16" s="145"/>
      <c r="L16" s="145"/>
      <c r="M16" s="145"/>
      <c r="N16" s="145"/>
      <c r="O16" s="145"/>
      <c r="P16" s="145"/>
      <c r="Q16" s="58">
        <f t="shared" si="3"/>
        <v>554042.79986659996</v>
      </c>
      <c r="S16" s="25">
        <f t="shared" si="4"/>
        <v>21.922779999999999</v>
      </c>
      <c r="T16" s="25"/>
      <c r="U16" s="54"/>
      <c r="X16" s="141" t="str">
        <f t="shared" si="0"/>
        <v/>
      </c>
      <c r="Y16" s="57">
        <f t="shared" si="5"/>
        <v>21.922779999999999</v>
      </c>
    </row>
    <row r="17" spans="1:26" x14ac:dyDescent="0.15">
      <c r="A17" s="139">
        <f t="shared" si="1"/>
        <v>2014</v>
      </c>
      <c r="B17" s="139" t="s">
        <v>281</v>
      </c>
      <c r="C17" s="139">
        <v>2014</v>
      </c>
      <c r="D17" s="145" t="s">
        <v>139</v>
      </c>
      <c r="E17" s="145"/>
      <c r="F17" s="56">
        <f>'WHS Projections data for calcs'!C13</f>
        <v>2537195</v>
      </c>
      <c r="G17" s="57">
        <f>VLOOKUP($H$3,'WHS Health Board Smoking data'!$A$30:$N$37,13,FALSE)</f>
        <v>20.814350000000001</v>
      </c>
      <c r="H17" s="56">
        <f>F17*(G17/100)</f>
        <v>528100.64748250006</v>
      </c>
      <c r="I17" s="145"/>
      <c r="J17" s="145"/>
      <c r="K17" s="145"/>
      <c r="L17" s="145"/>
      <c r="M17" s="145"/>
      <c r="N17" s="145"/>
      <c r="O17" s="145"/>
      <c r="P17" s="145"/>
      <c r="Q17" s="58">
        <f>H17-J17-L17+N17+P17</f>
        <v>528100.64748250006</v>
      </c>
      <c r="S17" s="25">
        <f t="shared" si="4"/>
        <v>20.814350000000001</v>
      </c>
      <c r="T17" s="25"/>
      <c r="U17" s="54"/>
      <c r="X17" s="141" t="str">
        <f t="shared" si="0"/>
        <v/>
      </c>
      <c r="Y17" s="57">
        <f t="shared" si="5"/>
        <v>20.814350000000001</v>
      </c>
    </row>
    <row r="18" spans="1:26" x14ac:dyDescent="0.15">
      <c r="A18" s="2">
        <f t="shared" si="1"/>
        <v>2015</v>
      </c>
      <c r="B18" s="2" t="s">
        <v>282</v>
      </c>
      <c r="C18" s="2">
        <v>2015</v>
      </c>
      <c r="D18" s="145" t="s">
        <v>140</v>
      </c>
      <c r="E18" s="126">
        <f>'WHS Projections data for calcs'!B14</f>
        <v>34611</v>
      </c>
      <c r="F18" s="56">
        <f>'WHS Projections data for calcs'!C14</f>
        <v>2543797</v>
      </c>
      <c r="G18" s="57">
        <f>VLOOKUP($H$3,'WHS Health Board Smoking data'!$A$30:$N$37,14,FALSE)</f>
        <v>19.90136</v>
      </c>
      <c r="H18" s="66">
        <f>F18*(G18/100)</f>
        <v>506250.19863920001</v>
      </c>
      <c r="I18" s="127">
        <f>'WHS Controls'!G11</f>
        <v>2.5</v>
      </c>
      <c r="J18" s="66">
        <f>(I18/100)*H18</f>
        <v>12656.254965980001</v>
      </c>
      <c r="K18" s="127">
        <v>0.75</v>
      </c>
      <c r="L18" s="66">
        <f>(K18/100)*H18</f>
        <v>3796.876489794</v>
      </c>
      <c r="M18" s="127">
        <f>'WHS Controls'!M11</f>
        <v>0.2</v>
      </c>
      <c r="N18" s="66">
        <f>(M18/100)*F18</f>
        <v>5087.5940000000001</v>
      </c>
      <c r="O18" s="57">
        <f>'WHS Controls'!J11</f>
        <v>8.5</v>
      </c>
      <c r="P18" s="66">
        <f>(O18/100)*E18</f>
        <v>2941.9350000000004</v>
      </c>
      <c r="Q18" s="67">
        <f>H18-J18-L18+N18+P18</f>
        <v>497826.59618342598</v>
      </c>
      <c r="T18" s="25">
        <f>G18</f>
        <v>19.90136</v>
      </c>
      <c r="U18" s="20"/>
      <c r="X18" s="141" t="str">
        <f t="shared" si="0"/>
        <v/>
      </c>
      <c r="Y18" s="57">
        <f t="shared" si="5"/>
        <v>19.90136</v>
      </c>
    </row>
    <row r="19" spans="1:26" x14ac:dyDescent="0.15">
      <c r="A19" s="2">
        <f t="shared" ref="A19:A42" si="6">D19</f>
        <v>2016</v>
      </c>
      <c r="B19" s="2">
        <v>2016</v>
      </c>
      <c r="C19" s="2"/>
      <c r="D19" s="145">
        <v>2016</v>
      </c>
      <c r="E19" s="126">
        <f>'WHS Projections data for calcs'!B15</f>
        <v>33896</v>
      </c>
      <c r="F19" s="56">
        <f>'WHS Projections data for calcs'!C15</f>
        <v>2556071</v>
      </c>
      <c r="G19" s="57">
        <f>Q18/F19*100</f>
        <v>19.476242881493743</v>
      </c>
      <c r="H19" s="66">
        <f>Q18</f>
        <v>497826.59618342598</v>
      </c>
      <c r="I19" s="127">
        <f>IF(AND(I18+'WHS Controls'!$P$11&lt;='WHS Controls'!$P$36,I18+'WHS Controls'!$P$11&gt;='WHS Controls'!$P$37),I18+'WHS Controls'!$P$11,IF(I18+'WHS Controls'!$P$11&gt;'WHS Controls'!$P$36,'WHS Controls'!$P$36,'WHS Controls'!$P$37))</f>
        <v>2.5</v>
      </c>
      <c r="J19" s="66">
        <f>(I19/100)*H19</f>
        <v>12445.66490458565</v>
      </c>
      <c r="K19" s="127">
        <v>0.75</v>
      </c>
      <c r="L19" s="66">
        <f>(K19/100)*H19</f>
        <v>3733.6994713756949</v>
      </c>
      <c r="M19" s="127">
        <f>IF(AND(M18+'WHS Controls'!$S$11&lt;='WHS Controls'!$S$36,M18+'WHS Controls'!$S$11&gt;='WHS Controls'!$S$37),M18+'WHS Controls'!$S$11,IF(M18+'WHS Controls'!$S$11&gt;'WHS Controls'!$S$36,'WHS Controls'!$S$36,'WHS Controls'!$S$37))</f>
        <v>0.2</v>
      </c>
      <c r="N19" s="66">
        <f>(M19/100)*F19</f>
        <v>5112.1419999999998</v>
      </c>
      <c r="O19" s="57">
        <f>IF(AND(O18+'WHS Controls'!$V$11&lt;='WHS Controls'!$V$36,O18+'WHS Controls'!$V$11&gt;='WHS Controls'!$V$37),O18+'WHS Controls'!$V$11,IF(O18+'WHS Controls'!$V$11&gt;'WHS Controls'!$V$36,'WHS Controls'!$V$36,'WHS Controls'!$V$37))</f>
        <v>8.5</v>
      </c>
      <c r="P19" s="66">
        <f>(O19/100)*E19</f>
        <v>2881.1600000000003</v>
      </c>
      <c r="Q19" s="67">
        <f>H19-J19-L19+N19+P19</f>
        <v>489640.53380746464</v>
      </c>
      <c r="R19" s="25"/>
      <c r="U19" s="25">
        <f>G19</f>
        <v>19.476242881493743</v>
      </c>
      <c r="X19" s="141" t="str">
        <f t="shared" si="0"/>
        <v/>
      </c>
      <c r="Y19" s="57">
        <f t="shared" si="5"/>
        <v>19.476242881493743</v>
      </c>
      <c r="Z19" s="25"/>
    </row>
    <row r="20" spans="1:26" x14ac:dyDescent="0.15">
      <c r="A20" s="2">
        <f t="shared" si="6"/>
        <v>2017</v>
      </c>
      <c r="B20" s="2">
        <v>2017</v>
      </c>
      <c r="C20" s="2"/>
      <c r="D20" s="145">
        <v>2017</v>
      </c>
      <c r="E20" s="126">
        <f>'WHS Projections data for calcs'!B16</f>
        <v>32435</v>
      </c>
      <c r="F20" s="56">
        <f>'WHS Projections data for calcs'!C16</f>
        <v>2563180</v>
      </c>
      <c r="G20" s="57">
        <f>Q19/F20*100</f>
        <v>19.102854025369449</v>
      </c>
      <c r="H20" s="66">
        <f>Q19</f>
        <v>489640.53380746464</v>
      </c>
      <c r="I20" s="127">
        <f>IF(AND(I19+'WHS Controls'!$P$11&lt;='WHS Controls'!$P$36,I19+'WHS Controls'!$P$11&gt;='WHS Controls'!$P$37),I19+'WHS Controls'!$P$11,IF(I19+'WHS Controls'!$P$11&gt;'WHS Controls'!$P$36,'WHS Controls'!$P$36,'WHS Controls'!$P$37))</f>
        <v>2.5</v>
      </c>
      <c r="J20" s="66">
        <f>(I20/100)*H20</f>
        <v>12241.013345186617</v>
      </c>
      <c r="K20" s="127">
        <f t="shared" ref="K20:K42" si="7">0.75</f>
        <v>0.75</v>
      </c>
      <c r="L20" s="66">
        <f t="shared" ref="L20:L42" si="8">(K20/100)*H20</f>
        <v>3672.3040035559848</v>
      </c>
      <c r="M20" s="127">
        <f>IF(AND(M19+'WHS Controls'!$S$11&lt;='WHS Controls'!$S$36,M19+'WHS Controls'!$S$11&gt;='WHS Controls'!$S$37),M19+'WHS Controls'!$S$11,IF(M19+'WHS Controls'!$S$11&gt;'WHS Controls'!$S$36,'WHS Controls'!$S$36,'WHS Controls'!$S$37))</f>
        <v>0.2</v>
      </c>
      <c r="N20" s="66">
        <f t="shared" ref="N20:N42" si="9">(M20/100)*F20</f>
        <v>5126.3599999999997</v>
      </c>
      <c r="O20" s="57">
        <f>IF(AND(O19+'WHS Controls'!$V$11&lt;='WHS Controls'!$V$36,O19+'WHS Controls'!$V$11&gt;='WHS Controls'!$V$37),O19+'WHS Controls'!$V$11,IF(O19+'WHS Controls'!$V$11&gt;'WHS Controls'!$V$36,'WHS Controls'!$V$36,'WHS Controls'!$V$37))</f>
        <v>8.5</v>
      </c>
      <c r="P20" s="66">
        <f t="shared" ref="P20:P42" si="10">(O20/100)*E20</f>
        <v>2756.9750000000004</v>
      </c>
      <c r="Q20" s="67">
        <f t="shared" ref="Q20:Q42" si="11">H20-J20-L20+N20+P20</f>
        <v>481610.55145872204</v>
      </c>
      <c r="R20" s="25"/>
      <c r="S20" s="25"/>
      <c r="T20" s="25"/>
      <c r="U20" s="20">
        <f t="shared" ref="U20:U25" si="12">G20</f>
        <v>19.102854025369449</v>
      </c>
      <c r="X20" s="141" t="str">
        <f t="shared" si="0"/>
        <v/>
      </c>
      <c r="Y20" s="57">
        <f t="shared" si="5"/>
        <v>19.102854025369449</v>
      </c>
      <c r="Z20" s="25"/>
    </row>
    <row r="21" spans="1:26" x14ac:dyDescent="0.15">
      <c r="A21" s="139">
        <f t="shared" si="6"/>
        <v>2018</v>
      </c>
      <c r="B21" s="139">
        <v>2018</v>
      </c>
      <c r="D21" s="140">
        <v>2018</v>
      </c>
      <c r="E21" s="126">
        <f>'WHS Projections data for calcs'!B17</f>
        <v>32525</v>
      </c>
      <c r="F21" s="56">
        <f>'WHS Projections data for calcs'!C17</f>
        <v>2569264</v>
      </c>
      <c r="G21" s="59">
        <f>Q20/F21*100</f>
        <v>18.745078413846223</v>
      </c>
      <c r="H21" s="56">
        <f t="shared" ref="H21:H41" si="13">Q20</f>
        <v>481610.55145872204</v>
      </c>
      <c r="I21" s="60">
        <f>IF(AND(I20+'WHS Controls'!$P$11&lt;='WHS Controls'!$P$36,I20+'WHS Controls'!$P$11&gt;='WHS Controls'!$P$37),I20+'WHS Controls'!$P$11,IF(I20+'WHS Controls'!$P$11&gt;'WHS Controls'!$P$36,'WHS Controls'!$P$36,'WHS Controls'!$P$37))</f>
        <v>2.5</v>
      </c>
      <c r="J21" s="56">
        <f>(I21/100)*H21</f>
        <v>12040.263786468051</v>
      </c>
      <c r="K21" s="60">
        <f t="shared" si="7"/>
        <v>0.75</v>
      </c>
      <c r="L21" s="56">
        <f t="shared" si="8"/>
        <v>3612.0791359404152</v>
      </c>
      <c r="M21" s="60">
        <f>IF(AND(M20+'WHS Controls'!$S$11&lt;='WHS Controls'!$S$36,M20+'WHS Controls'!$S$11&gt;='WHS Controls'!$S$37),M20+'WHS Controls'!$S$11,IF(M20+'WHS Controls'!$S$11&gt;'WHS Controls'!$S$36,'WHS Controls'!$S$36,'WHS Controls'!$S$37))</f>
        <v>0.2</v>
      </c>
      <c r="N21" s="56">
        <f t="shared" si="9"/>
        <v>5138.5280000000002</v>
      </c>
      <c r="O21" s="59">
        <f>IF(AND(O20+'WHS Controls'!$V$11&lt;='WHS Controls'!$V$36,O20+'WHS Controls'!$V$11&gt;='WHS Controls'!$V$37),O20+'WHS Controls'!$V$11,IF(O20+'WHS Controls'!$V$11&gt;'WHS Controls'!$V$36,'WHS Controls'!$V$36,'WHS Controls'!$V$37))</f>
        <v>8.5</v>
      </c>
      <c r="P21" s="56">
        <f t="shared" si="10"/>
        <v>2764.625</v>
      </c>
      <c r="Q21" s="58">
        <f t="shared" si="11"/>
        <v>473861.36153631355</v>
      </c>
      <c r="R21" s="25"/>
      <c r="S21" s="25"/>
      <c r="T21" s="25"/>
      <c r="U21" s="20">
        <f t="shared" si="12"/>
        <v>18.745078413846223</v>
      </c>
      <c r="X21" s="141" t="str">
        <f t="shared" si="0"/>
        <v/>
      </c>
      <c r="Y21" s="57">
        <f t="shared" si="5"/>
        <v>18.745078413846223</v>
      </c>
      <c r="Z21" s="25"/>
    </row>
    <row r="22" spans="1:26" x14ac:dyDescent="0.15">
      <c r="A22" s="139">
        <f t="shared" si="6"/>
        <v>2019</v>
      </c>
      <c r="B22" s="139">
        <v>2019</v>
      </c>
      <c r="D22" s="140">
        <v>2019</v>
      </c>
      <c r="E22" s="126">
        <f>'WHS Projections data for calcs'!B18</f>
        <v>33212</v>
      </c>
      <c r="F22" s="56">
        <f>'WHS Projections data for calcs'!C18</f>
        <v>2575200</v>
      </c>
      <c r="G22" s="59">
        <f>Q21/F22*100</f>
        <v>18.400953771991052</v>
      </c>
      <c r="H22" s="56">
        <f t="shared" si="13"/>
        <v>473861.36153631355</v>
      </c>
      <c r="I22" s="60">
        <f>IF(AND(I21+'WHS Controls'!$P$11&lt;='WHS Controls'!$P$36,I21+'WHS Controls'!$P$11&gt;='WHS Controls'!$P$37),I21+'WHS Controls'!$P$11,IF(I21+'WHS Controls'!$P$11&gt;'WHS Controls'!$P$36,'WHS Controls'!$P$36,'WHS Controls'!$P$37))</f>
        <v>2.5</v>
      </c>
      <c r="J22" s="56">
        <f t="shared" ref="J22:J42" si="14">(I22/100)*H22</f>
        <v>11846.534038407839</v>
      </c>
      <c r="K22" s="60">
        <f t="shared" si="7"/>
        <v>0.75</v>
      </c>
      <c r="L22" s="56">
        <f t="shared" si="8"/>
        <v>3553.9602115223515</v>
      </c>
      <c r="M22" s="60">
        <f>IF(AND(M21+'WHS Controls'!$S$11&lt;='WHS Controls'!$S$36,M21+'WHS Controls'!$S$11&gt;='WHS Controls'!$S$37),M21+'WHS Controls'!$S$11,IF(M21+'WHS Controls'!$S$11&gt;'WHS Controls'!$S$36,'WHS Controls'!$S$36,'WHS Controls'!$S$37))</f>
        <v>0.2</v>
      </c>
      <c r="N22" s="56">
        <f t="shared" si="9"/>
        <v>5150.4000000000005</v>
      </c>
      <c r="O22" s="59">
        <f>IF(AND(O21+'WHS Controls'!$V$11&lt;='WHS Controls'!$V$36,O21+'WHS Controls'!$V$11&gt;='WHS Controls'!$V$37),O21+'WHS Controls'!$V$11,IF(O21+'WHS Controls'!$V$11&gt;'WHS Controls'!$V$36,'WHS Controls'!$V$36,'WHS Controls'!$V$37))</f>
        <v>8.5</v>
      </c>
      <c r="P22" s="56">
        <f t="shared" si="10"/>
        <v>2823.02</v>
      </c>
      <c r="Q22" s="58">
        <f t="shared" si="11"/>
        <v>466434.28728638339</v>
      </c>
      <c r="R22" s="25"/>
      <c r="S22" s="25"/>
      <c r="T22" s="25"/>
      <c r="U22" s="20">
        <f t="shared" si="12"/>
        <v>18.400953771991052</v>
      </c>
      <c r="X22" s="141" t="str">
        <f t="shared" si="0"/>
        <v/>
      </c>
      <c r="Y22" s="57">
        <f t="shared" si="5"/>
        <v>18.400953771991052</v>
      </c>
      <c r="Z22" s="25"/>
    </row>
    <row r="23" spans="1:26" x14ac:dyDescent="0.15">
      <c r="A23" s="139">
        <f t="shared" si="6"/>
        <v>2020</v>
      </c>
      <c r="B23" s="139">
        <v>2020</v>
      </c>
      <c r="D23" s="145">
        <v>2020</v>
      </c>
      <c r="E23" s="126">
        <f>'WHS Projections data for calcs'!B19</f>
        <v>34190</v>
      </c>
      <c r="F23" s="56">
        <f>'WHS Projections data for calcs'!C19</f>
        <v>2581373</v>
      </c>
      <c r="G23" s="57">
        <f>Q22/F23*100</f>
        <v>18.069232431205538</v>
      </c>
      <c r="H23" s="66">
        <f>Q22</f>
        <v>466434.28728638339</v>
      </c>
      <c r="I23" s="127">
        <f>IF(AND(I22+'WHS Controls'!$P$11&lt;='WHS Controls'!$P$36,I22+'WHS Controls'!$P$11&gt;='WHS Controls'!$P$37),I22+'WHS Controls'!$P$11,IF(I22+'WHS Controls'!$P$11&gt;'WHS Controls'!$P$36,'WHS Controls'!$P$36,'WHS Controls'!$P$37))</f>
        <v>2.5</v>
      </c>
      <c r="J23" s="66">
        <f t="shared" si="14"/>
        <v>11660.857182159585</v>
      </c>
      <c r="K23" s="127">
        <f t="shared" si="7"/>
        <v>0.75</v>
      </c>
      <c r="L23" s="66">
        <f t="shared" si="8"/>
        <v>3498.2571546478753</v>
      </c>
      <c r="M23" s="127">
        <f>IF(AND(M22+'WHS Controls'!$S$11&lt;='WHS Controls'!$S$36,M22+'WHS Controls'!$S$11&gt;='WHS Controls'!$S$37),M22+'WHS Controls'!$S$11,IF(M22+'WHS Controls'!$S$11&gt;'WHS Controls'!$S$36,'WHS Controls'!$S$36,'WHS Controls'!$S$37))</f>
        <v>0.2</v>
      </c>
      <c r="N23" s="66">
        <f t="shared" si="9"/>
        <v>5162.7460000000001</v>
      </c>
      <c r="O23" s="57">
        <f>IF(AND(O22+'WHS Controls'!$V$11&lt;='WHS Controls'!$V$36,O22+'WHS Controls'!$V$11&gt;='WHS Controls'!$V$37),O22+'WHS Controls'!$V$11,IF(O22+'WHS Controls'!$V$11&gt;'WHS Controls'!$V$36,'WHS Controls'!$V$36,'WHS Controls'!$V$37))</f>
        <v>8.5</v>
      </c>
      <c r="P23" s="66">
        <f t="shared" si="10"/>
        <v>2906.15</v>
      </c>
      <c r="Q23" s="67">
        <f t="shared" si="11"/>
        <v>459344.06894957589</v>
      </c>
      <c r="R23" s="25"/>
      <c r="S23" s="25"/>
      <c r="T23" s="25"/>
      <c r="U23" s="20">
        <f t="shared" si="12"/>
        <v>18.069232431205538</v>
      </c>
      <c r="V23" s="139">
        <v>16</v>
      </c>
      <c r="X23" s="141" t="str">
        <f t="shared" si="0"/>
        <v/>
      </c>
      <c r="Y23" s="57">
        <f t="shared" si="5"/>
        <v>18.069232431205538</v>
      </c>
      <c r="Z23" s="25"/>
    </row>
    <row r="24" spans="1:26" x14ac:dyDescent="0.15">
      <c r="A24" s="139">
        <f t="shared" si="6"/>
        <v>2021</v>
      </c>
      <c r="B24" s="139">
        <v>2021</v>
      </c>
      <c r="D24" s="140">
        <v>2021</v>
      </c>
      <c r="E24" s="126">
        <f>'WHS Projections data for calcs'!B20</f>
        <v>35456</v>
      </c>
      <c r="F24" s="56">
        <f>'WHS Projections data for calcs'!C20</f>
        <v>2588257</v>
      </c>
      <c r="G24" s="59">
        <f t="shared" ref="G24:G39" si="15">Q23/F24*100</f>
        <v>17.747235647371028</v>
      </c>
      <c r="H24" s="56">
        <f t="shared" si="13"/>
        <v>459344.06894957589</v>
      </c>
      <c r="I24" s="60">
        <f>IF(AND(I23+'WHS Controls'!$P$11&lt;='WHS Controls'!$P$36,I23+'WHS Controls'!$P$11&gt;='WHS Controls'!$P$37),I23+'WHS Controls'!$P$11,IF(I23+'WHS Controls'!$P$11&gt;'WHS Controls'!$P$36,'WHS Controls'!$P$36,'WHS Controls'!$P$37))</f>
        <v>2.5</v>
      </c>
      <c r="J24" s="56">
        <f t="shared" si="14"/>
        <v>11483.601723739397</v>
      </c>
      <c r="K24" s="60">
        <f t="shared" si="7"/>
        <v>0.75</v>
      </c>
      <c r="L24" s="56">
        <f t="shared" si="8"/>
        <v>3445.080517121819</v>
      </c>
      <c r="M24" s="60">
        <f>IF(AND(M23+'WHS Controls'!$S$11&lt;='WHS Controls'!$S$36,M23+'WHS Controls'!$S$11&gt;='WHS Controls'!$S$37),M23+'WHS Controls'!$S$11,IF(M23+'WHS Controls'!$S$11&gt;'WHS Controls'!$S$36,'WHS Controls'!$S$36,'WHS Controls'!$S$37))</f>
        <v>0.2</v>
      </c>
      <c r="N24" s="56">
        <f t="shared" si="9"/>
        <v>5176.5140000000001</v>
      </c>
      <c r="O24" s="59">
        <f>IF(AND(O23+'WHS Controls'!$V$11&lt;='WHS Controls'!$V$36,O23+'WHS Controls'!$V$11&gt;='WHS Controls'!$V$37),O23+'WHS Controls'!$V$11,IF(O23+'WHS Controls'!$V$11&gt;'WHS Controls'!$V$36,'WHS Controls'!$V$36,'WHS Controls'!$V$37))</f>
        <v>8.5</v>
      </c>
      <c r="P24" s="56">
        <f t="shared" si="10"/>
        <v>3013.76</v>
      </c>
      <c r="Q24" s="58">
        <f t="shared" si="11"/>
        <v>452605.66070871468</v>
      </c>
      <c r="R24" s="25"/>
      <c r="S24" s="25"/>
      <c r="T24" s="25"/>
      <c r="U24" s="20">
        <f t="shared" si="12"/>
        <v>17.747235647371028</v>
      </c>
      <c r="X24" s="141" t="str">
        <f t="shared" si="0"/>
        <v/>
      </c>
      <c r="Y24" s="57">
        <f t="shared" si="5"/>
        <v>17.747235647371028</v>
      </c>
      <c r="Z24" s="25"/>
    </row>
    <row r="25" spans="1:26" x14ac:dyDescent="0.15">
      <c r="A25" s="139">
        <f t="shared" si="6"/>
        <v>2022</v>
      </c>
      <c r="B25" s="139">
        <v>2022</v>
      </c>
      <c r="D25" s="140">
        <v>2022</v>
      </c>
      <c r="E25" s="126">
        <f>'WHS Projections data for calcs'!B21</f>
        <v>35995</v>
      </c>
      <c r="F25" s="56">
        <f>'WHS Projections data for calcs'!C21</f>
        <v>2596328</v>
      </c>
      <c r="G25" s="59">
        <f t="shared" si="15"/>
        <v>17.43253012364827</v>
      </c>
      <c r="H25" s="56">
        <f t="shared" si="13"/>
        <v>452605.66070871468</v>
      </c>
      <c r="I25" s="60">
        <f>IF(AND(I24+'WHS Controls'!$P$11&lt;='WHS Controls'!$P$36,I24+'WHS Controls'!$P$11&gt;='WHS Controls'!$P$37),I24+'WHS Controls'!$P$11,IF(I24+'WHS Controls'!$P$11&gt;'WHS Controls'!$P$36,'WHS Controls'!$P$36,'WHS Controls'!$P$37))</f>
        <v>2.5</v>
      </c>
      <c r="J25" s="56">
        <f t="shared" si="14"/>
        <v>11315.141517717868</v>
      </c>
      <c r="K25" s="60">
        <f t="shared" si="7"/>
        <v>0.75</v>
      </c>
      <c r="L25" s="56">
        <f t="shared" si="8"/>
        <v>3394.5424553153598</v>
      </c>
      <c r="M25" s="60">
        <f>IF(AND(M24+'WHS Controls'!$S$11&lt;='WHS Controls'!$S$36,M24+'WHS Controls'!$S$11&gt;='WHS Controls'!$S$37),M24+'WHS Controls'!$S$11,IF(M24+'WHS Controls'!$S$11&gt;'WHS Controls'!$S$36,'WHS Controls'!$S$36,'WHS Controls'!$S$37))</f>
        <v>0.2</v>
      </c>
      <c r="N25" s="56">
        <f t="shared" si="9"/>
        <v>5192.6559999999999</v>
      </c>
      <c r="O25" s="59">
        <f>IF(AND(O24+'WHS Controls'!$V$11&lt;='WHS Controls'!$V$36,O24+'WHS Controls'!$V$11&gt;='WHS Controls'!$V$37),O24+'WHS Controls'!$V$11,IF(O24+'WHS Controls'!$V$11&gt;'WHS Controls'!$V$36,'WHS Controls'!$V$36,'WHS Controls'!$V$37))</f>
        <v>8.5</v>
      </c>
      <c r="P25" s="56">
        <f t="shared" si="10"/>
        <v>3059.5750000000003</v>
      </c>
      <c r="Q25" s="58">
        <f t="shared" si="11"/>
        <v>446148.2077356815</v>
      </c>
      <c r="R25" s="25"/>
      <c r="S25" s="25"/>
      <c r="T25" s="25"/>
      <c r="U25" s="20">
        <f t="shared" si="12"/>
        <v>17.43253012364827</v>
      </c>
      <c r="X25" s="141" t="str">
        <f t="shared" si="0"/>
        <v/>
      </c>
      <c r="Y25" s="57">
        <f t="shared" si="5"/>
        <v>17.43253012364827</v>
      </c>
      <c r="Z25" s="25"/>
    </row>
    <row r="26" spans="1:26" x14ac:dyDescent="0.15">
      <c r="A26" s="139">
        <f t="shared" si="6"/>
        <v>2023</v>
      </c>
      <c r="B26" s="139">
        <v>2023</v>
      </c>
      <c r="D26" s="140">
        <v>2023</v>
      </c>
      <c r="E26" s="126">
        <f>'WHS Projections data for calcs'!B22</f>
        <v>37427</v>
      </c>
      <c r="F26" s="56">
        <f>'WHS Projections data for calcs'!C22</f>
        <v>2604892</v>
      </c>
      <c r="G26" s="57">
        <f t="shared" si="15"/>
        <v>17.127320738659471</v>
      </c>
      <c r="H26" s="66">
        <f t="shared" si="13"/>
        <v>446148.2077356815</v>
      </c>
      <c r="I26" s="60">
        <f>IF(AND(I25+'WHS Controls'!$P$11&lt;='WHS Controls'!$P$36,I25+'WHS Controls'!$P$11&gt;='WHS Controls'!$P$37),I25+'WHS Controls'!$P$11,IF(I25+'WHS Controls'!$P$11&gt;'WHS Controls'!$P$36,'WHS Controls'!$P$36,'WHS Controls'!$P$37))</f>
        <v>2.5</v>
      </c>
      <c r="J26" s="56">
        <f t="shared" si="14"/>
        <v>11153.705193392037</v>
      </c>
      <c r="K26" s="60">
        <f t="shared" si="7"/>
        <v>0.75</v>
      </c>
      <c r="L26" s="56">
        <f t="shared" si="8"/>
        <v>3346.1115580176111</v>
      </c>
      <c r="M26" s="60">
        <f>IF(AND(M25+'WHS Controls'!$S$11&lt;='WHS Controls'!$S$36,M25+'WHS Controls'!$S$11&gt;='WHS Controls'!$S$37),M25+'WHS Controls'!$S$11,IF(M25+'WHS Controls'!$S$11&gt;'WHS Controls'!$S$36,'WHS Controls'!$S$36,'WHS Controls'!$S$37))</f>
        <v>0.2</v>
      </c>
      <c r="N26" s="56">
        <f t="shared" si="9"/>
        <v>5209.7840000000006</v>
      </c>
      <c r="O26" s="59">
        <f>IF(AND(O25+'WHS Controls'!$V$11&lt;='WHS Controls'!$V$36,O25+'WHS Controls'!$V$11&gt;='WHS Controls'!$V$37),O25+'WHS Controls'!$V$11,IF(O25+'WHS Controls'!$V$11&gt;'WHS Controls'!$V$36,'WHS Controls'!$V$36,'WHS Controls'!$V$37))</f>
        <v>8.5</v>
      </c>
      <c r="P26" s="66">
        <f t="shared" si="10"/>
        <v>3181.2950000000001</v>
      </c>
      <c r="Q26" s="67">
        <f t="shared" si="11"/>
        <v>440039.4699842718</v>
      </c>
      <c r="R26" s="25"/>
      <c r="S26" s="25"/>
      <c r="T26" s="25"/>
      <c r="U26" s="20">
        <f>G26</f>
        <v>17.127320738659471</v>
      </c>
      <c r="X26" s="141" t="str">
        <f t="shared" si="0"/>
        <v/>
      </c>
      <c r="Y26" s="57">
        <f t="shared" si="5"/>
        <v>17.127320738659471</v>
      </c>
      <c r="Z26" s="25"/>
    </row>
    <row r="27" spans="1:26" x14ac:dyDescent="0.15">
      <c r="A27" s="139">
        <f t="shared" si="6"/>
        <v>2024</v>
      </c>
      <c r="B27" s="139">
        <v>2024</v>
      </c>
      <c r="D27" s="140">
        <v>2024</v>
      </c>
      <c r="E27" s="126">
        <f>'WHS Projections data for calcs'!B23</f>
        <v>36792</v>
      </c>
      <c r="F27" s="56">
        <f>'WHS Projections data for calcs'!C23</f>
        <v>2614880</v>
      </c>
      <c r="G27" s="68">
        <f t="shared" si="15"/>
        <v>16.828285427410506</v>
      </c>
      <c r="H27" s="66">
        <f t="shared" si="13"/>
        <v>440039.4699842718</v>
      </c>
      <c r="I27" s="60">
        <f>IF(AND(I26+'WHS Controls'!$P$11&lt;='WHS Controls'!$P$36,I26+'WHS Controls'!$P$11&gt;='WHS Controls'!$P$37),I26+'WHS Controls'!$P$11,IF(I26+'WHS Controls'!$P$11&gt;'WHS Controls'!$P$36,'WHS Controls'!$P$36,'WHS Controls'!$P$37))</f>
        <v>2.5</v>
      </c>
      <c r="J27" s="56">
        <f t="shared" si="14"/>
        <v>11000.986749606796</v>
      </c>
      <c r="K27" s="60">
        <f t="shared" si="7"/>
        <v>0.75</v>
      </c>
      <c r="L27" s="56">
        <f t="shared" si="8"/>
        <v>3300.2960248820382</v>
      </c>
      <c r="M27" s="60">
        <f>IF(AND(M26+'WHS Controls'!$S$11&lt;='WHS Controls'!$S$36,M26+'WHS Controls'!$S$11&gt;='WHS Controls'!$S$37),M26+'WHS Controls'!$S$11,IF(M26+'WHS Controls'!$S$11&gt;'WHS Controls'!$S$36,'WHS Controls'!$S$36,'WHS Controls'!$S$37))</f>
        <v>0.2</v>
      </c>
      <c r="N27" s="56">
        <f t="shared" si="9"/>
        <v>5229.76</v>
      </c>
      <c r="O27" s="59">
        <f>IF(AND(O26+'WHS Controls'!$V$11&lt;='WHS Controls'!$V$36,O26+'WHS Controls'!$V$11&gt;='WHS Controls'!$V$37),O26+'WHS Controls'!$V$11,IF(O26+'WHS Controls'!$V$11&gt;'WHS Controls'!$V$36,'WHS Controls'!$V$36,'WHS Controls'!$V$37))</f>
        <v>8.5</v>
      </c>
      <c r="P27" s="66">
        <f t="shared" si="10"/>
        <v>3127.32</v>
      </c>
      <c r="Q27" s="67">
        <f t="shared" si="11"/>
        <v>434095.26720978296</v>
      </c>
      <c r="R27" s="25"/>
      <c r="S27" s="25"/>
      <c r="T27" s="25"/>
      <c r="U27" s="20">
        <f>G27</f>
        <v>16.828285427410506</v>
      </c>
      <c r="X27" s="141" t="str">
        <f t="shared" si="0"/>
        <v/>
      </c>
      <c r="Y27" s="57">
        <f t="shared" si="5"/>
        <v>16.828285427410506</v>
      </c>
      <c r="Z27" s="25"/>
    </row>
    <row r="28" spans="1:26" x14ac:dyDescent="0.15">
      <c r="A28" s="139">
        <f t="shared" si="6"/>
        <v>2025</v>
      </c>
      <c r="B28" s="139">
        <v>2025</v>
      </c>
      <c r="D28" s="140">
        <v>2025</v>
      </c>
      <c r="E28" s="126">
        <f>'WHS Projections data for calcs'!B24</f>
        <v>37364</v>
      </c>
      <c r="F28" s="56">
        <f>'WHS Projections data for calcs'!C24</f>
        <v>2624233</v>
      </c>
      <c r="G28" s="59">
        <f t="shared" si="15"/>
        <v>16.541795915598311</v>
      </c>
      <c r="H28" s="56">
        <f t="shared" si="13"/>
        <v>434095.26720978296</v>
      </c>
      <c r="I28" s="60">
        <f>IF(AND(I27+'WHS Controls'!$P$11&lt;='WHS Controls'!$P$36,I27+'WHS Controls'!$P$11&gt;='WHS Controls'!$P$37),I27+'WHS Controls'!$P$11,IF(I27+'WHS Controls'!$P$11&gt;'WHS Controls'!$P$36,'WHS Controls'!$P$36,'WHS Controls'!$P$37))</f>
        <v>2.5</v>
      </c>
      <c r="J28" s="56">
        <f t="shared" si="14"/>
        <v>10852.381680244574</v>
      </c>
      <c r="K28" s="60">
        <f t="shared" si="7"/>
        <v>0.75</v>
      </c>
      <c r="L28" s="56">
        <f t="shared" si="8"/>
        <v>3255.7145040733722</v>
      </c>
      <c r="M28" s="60">
        <f>IF(AND(M27+'WHS Controls'!$S$11&lt;='WHS Controls'!$S$36,M27+'WHS Controls'!$S$11&gt;='WHS Controls'!$S$37),M27+'WHS Controls'!$S$11,IF(M27+'WHS Controls'!$S$11&gt;'WHS Controls'!$S$36,'WHS Controls'!$S$36,'WHS Controls'!$S$37))</f>
        <v>0.2</v>
      </c>
      <c r="N28" s="56">
        <f t="shared" si="9"/>
        <v>5248.4660000000003</v>
      </c>
      <c r="O28" s="59">
        <f>IF(AND(O27+'WHS Controls'!$V$11&lt;='WHS Controls'!$V$36,O27+'WHS Controls'!$V$11&gt;='WHS Controls'!$V$37),O27+'WHS Controls'!$V$11,IF(O27+'WHS Controls'!$V$11&gt;'WHS Controls'!$V$36,'WHS Controls'!$V$36,'WHS Controls'!$V$37))</f>
        <v>8.5</v>
      </c>
      <c r="P28" s="56">
        <f t="shared" si="10"/>
        <v>3175.94</v>
      </c>
      <c r="Q28" s="58">
        <f t="shared" si="11"/>
        <v>428411.57702546503</v>
      </c>
      <c r="R28" s="25"/>
      <c r="S28" s="25"/>
      <c r="T28" s="25"/>
      <c r="U28" s="20">
        <f t="shared" ref="U28:U38" si="16">G28</f>
        <v>16.541795915598311</v>
      </c>
      <c r="X28" s="141" t="str">
        <f t="shared" si="0"/>
        <v/>
      </c>
      <c r="Y28" s="57">
        <f t="shared" si="5"/>
        <v>16.541795915598311</v>
      </c>
      <c r="Z28" s="25"/>
    </row>
    <row r="29" spans="1:26" x14ac:dyDescent="0.15">
      <c r="A29" s="139">
        <f t="shared" si="6"/>
        <v>2026</v>
      </c>
      <c r="B29" s="139">
        <v>2026</v>
      </c>
      <c r="D29" s="140">
        <v>2026</v>
      </c>
      <c r="E29" s="126">
        <f>'WHS Projections data for calcs'!B25</f>
        <v>38201</v>
      </c>
      <c r="F29" s="56">
        <f>'WHS Projections data for calcs'!C25</f>
        <v>2634085</v>
      </c>
      <c r="G29" s="59">
        <f t="shared" si="15"/>
        <v>16.264151575422396</v>
      </c>
      <c r="H29" s="56">
        <f t="shared" si="13"/>
        <v>428411.57702546503</v>
      </c>
      <c r="I29" s="60">
        <f>IF(AND(I28+'WHS Controls'!$P$11&lt;='WHS Controls'!$P$36,I28+'WHS Controls'!$P$11&gt;='WHS Controls'!$P$37),I28+'WHS Controls'!$P$11,IF(I28+'WHS Controls'!$P$11&gt;'WHS Controls'!$P$36,'WHS Controls'!$P$36,'WHS Controls'!$P$37))</f>
        <v>2.5</v>
      </c>
      <c r="J29" s="56">
        <f t="shared" si="14"/>
        <v>10710.289425636627</v>
      </c>
      <c r="K29" s="60">
        <f t="shared" si="7"/>
        <v>0.75</v>
      </c>
      <c r="L29" s="56">
        <f t="shared" si="8"/>
        <v>3213.0868276909878</v>
      </c>
      <c r="M29" s="60">
        <f>IF(AND(M28+'WHS Controls'!$S$11&lt;='WHS Controls'!$S$36,M28+'WHS Controls'!$S$11&gt;='WHS Controls'!$S$37),M28+'WHS Controls'!$S$11,IF(M28+'WHS Controls'!$S$11&gt;'WHS Controls'!$S$36,'WHS Controls'!$S$36,'WHS Controls'!$S$37))</f>
        <v>0.2</v>
      </c>
      <c r="N29" s="56">
        <f t="shared" si="9"/>
        <v>5268.17</v>
      </c>
      <c r="O29" s="59">
        <f>IF(AND(O28+'WHS Controls'!$V$11&lt;='WHS Controls'!$V$36,O28+'WHS Controls'!$V$11&gt;='WHS Controls'!$V$37),O28+'WHS Controls'!$V$11,IF(O28+'WHS Controls'!$V$11&gt;'WHS Controls'!$V$36,'WHS Controls'!$V$36,'WHS Controls'!$V$37))</f>
        <v>8.5</v>
      </c>
      <c r="P29" s="56">
        <f t="shared" si="10"/>
        <v>3247.085</v>
      </c>
      <c r="Q29" s="58">
        <f t="shared" si="11"/>
        <v>423003.45577213739</v>
      </c>
      <c r="R29" s="25"/>
      <c r="S29" s="25"/>
      <c r="T29" s="25"/>
      <c r="U29" s="20">
        <f t="shared" si="16"/>
        <v>16.264151575422396</v>
      </c>
      <c r="X29" s="141" t="str">
        <f t="shared" si="0"/>
        <v/>
      </c>
      <c r="Y29" s="57">
        <f t="shared" si="5"/>
        <v>16.264151575422396</v>
      </c>
      <c r="Z29" s="25"/>
    </row>
    <row r="30" spans="1:26" x14ac:dyDescent="0.15">
      <c r="A30" s="139">
        <f t="shared" si="6"/>
        <v>2027</v>
      </c>
      <c r="B30" s="139">
        <v>2027</v>
      </c>
      <c r="D30" s="140">
        <v>2027</v>
      </c>
      <c r="E30" s="126">
        <f>'WHS Projections data for calcs'!B26</f>
        <v>37446</v>
      </c>
      <c r="F30" s="56">
        <f>'WHS Projections data for calcs'!C26</f>
        <v>2644589</v>
      </c>
      <c r="G30" s="59">
        <f>Q29/F30*100</f>
        <v>15.99505464827001</v>
      </c>
      <c r="H30" s="56">
        <f t="shared" si="13"/>
        <v>423003.45577213739</v>
      </c>
      <c r="I30" s="60">
        <f>IF(AND(I29+'WHS Controls'!$P$11&lt;='WHS Controls'!$P$36,I29+'WHS Controls'!$P$11&gt;='WHS Controls'!$P$37),I29+'WHS Controls'!$P$11,IF(I29+'WHS Controls'!$P$11&gt;'WHS Controls'!$P$36,'WHS Controls'!$P$36,'WHS Controls'!$P$37))</f>
        <v>2.5</v>
      </c>
      <c r="J30" s="56">
        <f t="shared" si="14"/>
        <v>10575.086394303435</v>
      </c>
      <c r="K30" s="60">
        <f t="shared" si="7"/>
        <v>0.75</v>
      </c>
      <c r="L30" s="56">
        <f t="shared" si="8"/>
        <v>3172.5259182910304</v>
      </c>
      <c r="M30" s="60">
        <f>IF(AND(M29+'WHS Controls'!$S$11&lt;='WHS Controls'!$S$36,M29+'WHS Controls'!$S$11&gt;='WHS Controls'!$S$37),M29+'WHS Controls'!$S$11,IF(M29+'WHS Controls'!$S$11&gt;'WHS Controls'!$S$36,'WHS Controls'!$S$36,'WHS Controls'!$S$37))</f>
        <v>0.2</v>
      </c>
      <c r="N30" s="56">
        <f t="shared" si="9"/>
        <v>5289.1779999999999</v>
      </c>
      <c r="O30" s="59">
        <f>IF(AND(O29+'WHS Controls'!$V$11&lt;='WHS Controls'!$V$36,O29+'WHS Controls'!$V$11&gt;='WHS Controls'!$V$37),O29+'WHS Controls'!$V$11,IF(O29+'WHS Controls'!$V$11&gt;'WHS Controls'!$V$36,'WHS Controls'!$V$36,'WHS Controls'!$V$37))</f>
        <v>8.5</v>
      </c>
      <c r="P30" s="56">
        <f t="shared" si="10"/>
        <v>3182.9100000000003</v>
      </c>
      <c r="Q30" s="58">
        <f t="shared" si="11"/>
        <v>417727.93145954295</v>
      </c>
      <c r="R30" s="25"/>
      <c r="S30" s="25"/>
      <c r="T30" s="25"/>
      <c r="U30" s="20">
        <f t="shared" si="16"/>
        <v>15.99505464827001</v>
      </c>
      <c r="X30" s="141">
        <f t="shared" si="0"/>
        <v>2027</v>
      </c>
      <c r="Y30" s="57">
        <f t="shared" si="5"/>
        <v>15.99505464827001</v>
      </c>
      <c r="Z30" s="25"/>
    </row>
    <row r="31" spans="1:26" x14ac:dyDescent="0.15">
      <c r="A31" s="139">
        <f t="shared" si="6"/>
        <v>2028</v>
      </c>
      <c r="B31" s="139">
        <v>2028</v>
      </c>
      <c r="D31" s="140">
        <v>2028</v>
      </c>
      <c r="E31" s="126">
        <f>'WHS Projections data for calcs'!B27</f>
        <v>36258</v>
      </c>
      <c r="F31" s="56">
        <f>'WHS Projections data for calcs'!C27</f>
        <v>2654083</v>
      </c>
      <c r="G31" s="59">
        <f>Q30/F31*100</f>
        <v>15.739068124830419</v>
      </c>
      <c r="H31" s="56">
        <f t="shared" si="13"/>
        <v>417727.93145954295</v>
      </c>
      <c r="I31" s="60">
        <f>IF(AND(I30+'WHS Controls'!$P$11&lt;='WHS Controls'!$P$36,I30+'WHS Controls'!$P$11&gt;='WHS Controls'!$P$37),I30+'WHS Controls'!$P$11,IF(I30+'WHS Controls'!$P$11&gt;'WHS Controls'!$P$36,'WHS Controls'!$P$36,'WHS Controls'!$P$37))</f>
        <v>2.5</v>
      </c>
      <c r="J31" s="56">
        <f t="shared" si="14"/>
        <v>10443.198286488574</v>
      </c>
      <c r="K31" s="60">
        <f t="shared" si="7"/>
        <v>0.75</v>
      </c>
      <c r="L31" s="56">
        <f t="shared" si="8"/>
        <v>3132.9594859465719</v>
      </c>
      <c r="M31" s="60">
        <f>IF(AND(M30+'WHS Controls'!$S$11&lt;='WHS Controls'!$S$36,M30+'WHS Controls'!$S$11&gt;='WHS Controls'!$S$37),M30+'WHS Controls'!$S$11,IF(M30+'WHS Controls'!$S$11&gt;'WHS Controls'!$S$36,'WHS Controls'!$S$36,'WHS Controls'!$S$37))</f>
        <v>0.2</v>
      </c>
      <c r="N31" s="56">
        <f t="shared" si="9"/>
        <v>5308.1660000000002</v>
      </c>
      <c r="O31" s="59">
        <f>IF(AND(O30+'WHS Controls'!$V$11&lt;='WHS Controls'!$V$36,O30+'WHS Controls'!$V$11&gt;='WHS Controls'!$V$37),O30+'WHS Controls'!$V$11,IF(O30+'WHS Controls'!$V$11&gt;'WHS Controls'!$V$36,'WHS Controls'!$V$36,'WHS Controls'!$V$37))</f>
        <v>8.5</v>
      </c>
      <c r="P31" s="56">
        <f t="shared" si="10"/>
        <v>3081.9300000000003</v>
      </c>
      <c r="Q31" s="58">
        <f t="shared" si="11"/>
        <v>412541.8696871078</v>
      </c>
      <c r="R31" s="25"/>
      <c r="S31" s="25"/>
      <c r="T31" s="25"/>
      <c r="U31" s="20">
        <f t="shared" si="16"/>
        <v>15.739068124830419</v>
      </c>
      <c r="X31" s="141">
        <f t="shared" si="0"/>
        <v>2028</v>
      </c>
      <c r="Y31" s="57">
        <f t="shared" si="5"/>
        <v>15.739068124830419</v>
      </c>
      <c r="Z31" s="25"/>
    </row>
    <row r="32" spans="1:26" x14ac:dyDescent="0.15">
      <c r="A32" s="139">
        <f t="shared" si="6"/>
        <v>2029</v>
      </c>
      <c r="B32" s="139">
        <v>2029</v>
      </c>
      <c r="D32" s="140">
        <v>2029</v>
      </c>
      <c r="E32" s="126">
        <f>'WHS Projections data for calcs'!B28</f>
        <v>35315</v>
      </c>
      <c r="F32" s="56">
        <f>'WHS Projections data for calcs'!C28</f>
        <v>2661987</v>
      </c>
      <c r="G32" s="59">
        <f t="shared" si="15"/>
        <v>15.497516317213714</v>
      </c>
      <c r="H32" s="56">
        <f t="shared" si="13"/>
        <v>412541.8696871078</v>
      </c>
      <c r="I32" s="60">
        <f>IF(AND(I31+'WHS Controls'!$P$11&lt;='WHS Controls'!$P$36,I31+'WHS Controls'!$P$11&gt;='WHS Controls'!$P$37),I31+'WHS Controls'!$P$11,IF(I31+'WHS Controls'!$P$11&gt;'WHS Controls'!$P$36,'WHS Controls'!$P$36,'WHS Controls'!$P$37))</f>
        <v>2.5</v>
      </c>
      <c r="J32" s="56">
        <f t="shared" si="14"/>
        <v>10313.546742177696</v>
      </c>
      <c r="K32" s="60">
        <f t="shared" si="7"/>
        <v>0.75</v>
      </c>
      <c r="L32" s="56">
        <f t="shared" si="8"/>
        <v>3094.0640226533083</v>
      </c>
      <c r="M32" s="60">
        <f>IF(AND(M31+'WHS Controls'!$S$11&lt;='WHS Controls'!$S$36,M31+'WHS Controls'!$S$11&gt;='WHS Controls'!$S$37),M31+'WHS Controls'!$S$11,IF(M31+'WHS Controls'!$S$11&gt;'WHS Controls'!$S$36,'WHS Controls'!$S$36,'WHS Controls'!$S$37))</f>
        <v>0.2</v>
      </c>
      <c r="N32" s="56">
        <f t="shared" si="9"/>
        <v>5323.9740000000002</v>
      </c>
      <c r="O32" s="59">
        <f>IF(AND(O31+'WHS Controls'!$V$11&lt;='WHS Controls'!$V$36,O31+'WHS Controls'!$V$11&gt;='WHS Controls'!$V$37),O31+'WHS Controls'!$V$11,IF(O31+'WHS Controls'!$V$11&gt;'WHS Controls'!$V$36,'WHS Controls'!$V$36,'WHS Controls'!$V$37))</f>
        <v>8.5</v>
      </c>
      <c r="P32" s="56">
        <f t="shared" si="10"/>
        <v>3001.7750000000001</v>
      </c>
      <c r="Q32" s="58">
        <f t="shared" si="11"/>
        <v>407460.0079222768</v>
      </c>
      <c r="R32" s="25"/>
      <c r="S32" s="25"/>
      <c r="T32" s="25"/>
      <c r="U32" s="20">
        <f t="shared" si="16"/>
        <v>15.497516317213714</v>
      </c>
      <c r="X32" s="141">
        <f t="shared" si="0"/>
        <v>2029</v>
      </c>
      <c r="Y32" s="57">
        <f t="shared" si="5"/>
        <v>15.497516317213714</v>
      </c>
      <c r="Z32" s="25"/>
    </row>
    <row r="33" spans="1:26" x14ac:dyDescent="0.15">
      <c r="A33" s="139">
        <f t="shared" si="6"/>
        <v>2030</v>
      </c>
      <c r="B33" s="139">
        <v>2030</v>
      </c>
      <c r="D33" s="140">
        <v>2030</v>
      </c>
      <c r="E33" s="126">
        <f>'WHS Projections data for calcs'!B29</f>
        <v>35085</v>
      </c>
      <c r="F33" s="56">
        <f>'WHS Projections data for calcs'!C29</f>
        <v>2668517</v>
      </c>
      <c r="G33" s="59">
        <f t="shared" si="15"/>
        <v>15.269155411873966</v>
      </c>
      <c r="H33" s="56">
        <f t="shared" si="13"/>
        <v>407460.0079222768</v>
      </c>
      <c r="I33" s="60">
        <f>IF(AND(I32+'WHS Controls'!$P$11&lt;='WHS Controls'!$P$36,I32+'WHS Controls'!$P$11&gt;='WHS Controls'!$P$37),I32+'WHS Controls'!$P$11,IF(I32+'WHS Controls'!$P$11&gt;'WHS Controls'!$P$36,'WHS Controls'!$P$36,'WHS Controls'!$P$37))</f>
        <v>2.5</v>
      </c>
      <c r="J33" s="56">
        <f t="shared" si="14"/>
        <v>10186.500198056921</v>
      </c>
      <c r="K33" s="60">
        <f t="shared" si="7"/>
        <v>0.75</v>
      </c>
      <c r="L33" s="56">
        <f t="shared" si="8"/>
        <v>3055.9500594170759</v>
      </c>
      <c r="M33" s="60">
        <f>IF(AND(M32+'WHS Controls'!$S$11&lt;='WHS Controls'!$S$36,M32+'WHS Controls'!$S$11&gt;='WHS Controls'!$S$37),M32+'WHS Controls'!$S$11,IF(M32+'WHS Controls'!$S$11&gt;'WHS Controls'!$S$36,'WHS Controls'!$S$36,'WHS Controls'!$S$37))</f>
        <v>0.2</v>
      </c>
      <c r="N33" s="56">
        <f t="shared" si="9"/>
        <v>5337.0340000000006</v>
      </c>
      <c r="O33" s="59">
        <f>IF(AND(O32+'WHS Controls'!$V$11&lt;='WHS Controls'!$V$36,O32+'WHS Controls'!$V$11&gt;='WHS Controls'!$V$37),O32+'WHS Controls'!$V$11,IF(O32+'WHS Controls'!$V$11&gt;'WHS Controls'!$V$36,'WHS Controls'!$V$36,'WHS Controls'!$V$37))</f>
        <v>8.5</v>
      </c>
      <c r="P33" s="56">
        <f t="shared" si="10"/>
        <v>2982.2250000000004</v>
      </c>
      <c r="Q33" s="58">
        <f t="shared" si="11"/>
        <v>402536.81666480278</v>
      </c>
      <c r="R33" s="25"/>
      <c r="S33" s="25"/>
      <c r="T33" s="25"/>
      <c r="U33" s="20">
        <f t="shared" si="16"/>
        <v>15.269155411873966</v>
      </c>
      <c r="X33" s="141">
        <f t="shared" si="0"/>
        <v>2030</v>
      </c>
      <c r="Y33" s="57">
        <f t="shared" si="5"/>
        <v>15.269155411873966</v>
      </c>
      <c r="Z33" s="25"/>
    </row>
    <row r="34" spans="1:26" x14ac:dyDescent="0.15">
      <c r="A34" s="139">
        <f t="shared" si="6"/>
        <v>2031</v>
      </c>
      <c r="B34" s="139">
        <v>2031</v>
      </c>
      <c r="D34" s="140">
        <v>2031</v>
      </c>
      <c r="E34" s="126">
        <f>'WHS Projections data for calcs'!B30</f>
        <v>35271</v>
      </c>
      <c r="F34" s="56">
        <f>'WHS Projections data for calcs'!C30</f>
        <v>2674378</v>
      </c>
      <c r="G34" s="59">
        <f t="shared" si="15"/>
        <v>15.051605145749884</v>
      </c>
      <c r="H34" s="56">
        <f t="shared" si="13"/>
        <v>402536.81666480278</v>
      </c>
      <c r="I34" s="60">
        <f>IF(AND(I33+'WHS Controls'!$P$11&lt;='WHS Controls'!$P$36,I33+'WHS Controls'!$P$11&gt;='WHS Controls'!$P$37),I33+'WHS Controls'!$P$11,IF(I33+'WHS Controls'!$P$11&gt;'WHS Controls'!$P$36,'WHS Controls'!$P$36,'WHS Controls'!$P$37))</f>
        <v>2.5</v>
      </c>
      <c r="J34" s="56">
        <f t="shared" si="14"/>
        <v>10063.420416620071</v>
      </c>
      <c r="K34" s="60">
        <f t="shared" si="7"/>
        <v>0.75</v>
      </c>
      <c r="L34" s="56">
        <f t="shared" si="8"/>
        <v>3019.0261249860209</v>
      </c>
      <c r="M34" s="60">
        <f>IF(AND(M33+'WHS Controls'!$S$11&lt;='WHS Controls'!$S$36,M33+'WHS Controls'!$S$11&gt;='WHS Controls'!$S$37),M33+'WHS Controls'!$S$11,IF(M33+'WHS Controls'!$S$11&gt;'WHS Controls'!$S$36,'WHS Controls'!$S$36,'WHS Controls'!$S$37))</f>
        <v>0.2</v>
      </c>
      <c r="N34" s="56">
        <f t="shared" si="9"/>
        <v>5348.7560000000003</v>
      </c>
      <c r="O34" s="59">
        <f>IF(AND(O33+'WHS Controls'!$V$11&lt;='WHS Controls'!$V$36,O33+'WHS Controls'!$V$11&gt;='WHS Controls'!$V$37),O33+'WHS Controls'!$V$11,IF(O33+'WHS Controls'!$V$11&gt;'WHS Controls'!$V$36,'WHS Controls'!$V$36,'WHS Controls'!$V$37))</f>
        <v>8.5</v>
      </c>
      <c r="P34" s="56">
        <f t="shared" si="10"/>
        <v>2998.0350000000003</v>
      </c>
      <c r="Q34" s="58">
        <f t="shared" si="11"/>
        <v>397801.16112319665</v>
      </c>
      <c r="R34" s="25"/>
      <c r="S34" s="25"/>
      <c r="T34" s="25"/>
      <c r="U34" s="20">
        <f t="shared" si="16"/>
        <v>15.051605145749884</v>
      </c>
      <c r="X34" s="141">
        <f t="shared" si="0"/>
        <v>2031</v>
      </c>
      <c r="Y34" s="57">
        <f t="shared" si="5"/>
        <v>15.051605145749884</v>
      </c>
      <c r="Z34" s="25"/>
    </row>
    <row r="35" spans="1:26" x14ac:dyDescent="0.15">
      <c r="A35" s="139">
        <f t="shared" si="6"/>
        <v>2032</v>
      </c>
      <c r="B35" s="139">
        <v>2032</v>
      </c>
      <c r="D35" s="140">
        <v>2032</v>
      </c>
      <c r="E35" s="126">
        <f>'WHS Projections data for calcs'!B31</f>
        <v>35527</v>
      </c>
      <c r="F35" s="56">
        <f>'WHS Projections data for calcs'!C31</f>
        <v>2679892</v>
      </c>
      <c r="G35" s="59">
        <f t="shared" si="15"/>
        <v>14.843925095608206</v>
      </c>
      <c r="H35" s="56">
        <f t="shared" si="13"/>
        <v>397801.16112319665</v>
      </c>
      <c r="I35" s="60">
        <f>IF(AND(I34+'WHS Controls'!$P$11&lt;='WHS Controls'!$P$36,I34+'WHS Controls'!$P$11&gt;='WHS Controls'!$P$37),I34+'WHS Controls'!$P$11,IF(I34+'WHS Controls'!$P$11&gt;'WHS Controls'!$P$36,'WHS Controls'!$P$36,'WHS Controls'!$P$37))</f>
        <v>2.5</v>
      </c>
      <c r="J35" s="56">
        <f t="shared" si="14"/>
        <v>9945.0290280799163</v>
      </c>
      <c r="K35" s="60">
        <f t="shared" si="7"/>
        <v>0.75</v>
      </c>
      <c r="L35" s="56">
        <f t="shared" si="8"/>
        <v>2983.5087084239749</v>
      </c>
      <c r="M35" s="60">
        <f>IF(AND(M34+'WHS Controls'!$S$11&lt;='WHS Controls'!$S$36,M34+'WHS Controls'!$S$11&gt;='WHS Controls'!$S$37),M34+'WHS Controls'!$S$11,IF(M34+'WHS Controls'!$S$11&gt;'WHS Controls'!$S$36,'WHS Controls'!$S$36,'WHS Controls'!$S$37))</f>
        <v>0.2</v>
      </c>
      <c r="N35" s="56">
        <f t="shared" si="9"/>
        <v>5359.7840000000006</v>
      </c>
      <c r="O35" s="59">
        <f>IF(AND(O34+'WHS Controls'!$V$11&lt;='WHS Controls'!$V$36,O34+'WHS Controls'!$V$11&gt;='WHS Controls'!$V$37),O34+'WHS Controls'!$V$11,IF(O34+'WHS Controls'!$V$11&gt;'WHS Controls'!$V$36,'WHS Controls'!$V$36,'WHS Controls'!$V$37))</f>
        <v>8.5</v>
      </c>
      <c r="P35" s="56">
        <f t="shared" si="10"/>
        <v>3019.7950000000001</v>
      </c>
      <c r="Q35" s="58">
        <f t="shared" si="11"/>
        <v>393252.20238669269</v>
      </c>
      <c r="R35" s="25"/>
      <c r="S35" s="25"/>
      <c r="T35" s="25"/>
      <c r="U35" s="20">
        <f t="shared" si="16"/>
        <v>14.843925095608206</v>
      </c>
      <c r="X35" s="141">
        <f t="shared" si="0"/>
        <v>2032</v>
      </c>
      <c r="Y35" s="57">
        <f t="shared" si="5"/>
        <v>14.843925095608206</v>
      </c>
      <c r="Z35" s="25"/>
    </row>
    <row r="36" spans="1:26" x14ac:dyDescent="0.15">
      <c r="A36" s="139">
        <f t="shared" si="6"/>
        <v>2033</v>
      </c>
      <c r="B36" s="139">
        <v>2033</v>
      </c>
      <c r="D36" s="140">
        <v>2033</v>
      </c>
      <c r="E36" s="126">
        <f>'WHS Projections data for calcs'!B32</f>
        <v>35770</v>
      </c>
      <c r="F36" s="56">
        <f>'WHS Projections data for calcs'!C32</f>
        <v>2685097</v>
      </c>
      <c r="G36" s="59">
        <f t="shared" si="15"/>
        <v>14.645735419863518</v>
      </c>
      <c r="H36" s="56">
        <f t="shared" si="13"/>
        <v>393252.20238669269</v>
      </c>
      <c r="I36" s="60">
        <f>IF(AND(I35+'WHS Controls'!$P$11&lt;='WHS Controls'!$P$36,I35+'WHS Controls'!$P$11&gt;='WHS Controls'!$P$37),I35+'WHS Controls'!$P$11,IF(I35+'WHS Controls'!$P$11&gt;'WHS Controls'!$P$36,'WHS Controls'!$P$36,'WHS Controls'!$P$37))</f>
        <v>2.5</v>
      </c>
      <c r="J36" s="56">
        <f t="shared" si="14"/>
        <v>9831.3050596673183</v>
      </c>
      <c r="K36" s="60">
        <f t="shared" si="7"/>
        <v>0.75</v>
      </c>
      <c r="L36" s="56">
        <f t="shared" si="8"/>
        <v>2949.3915179001951</v>
      </c>
      <c r="M36" s="60">
        <f>IF(AND(M35+'WHS Controls'!$S$11&lt;='WHS Controls'!$S$36,M35+'WHS Controls'!$S$11&gt;='WHS Controls'!$S$37),M35+'WHS Controls'!$S$11,IF(M35+'WHS Controls'!$S$11&gt;'WHS Controls'!$S$36,'WHS Controls'!$S$36,'WHS Controls'!$S$37))</f>
        <v>0.2</v>
      </c>
      <c r="N36" s="56">
        <f t="shared" si="9"/>
        <v>5370.1940000000004</v>
      </c>
      <c r="O36" s="59">
        <f>IF(AND(O35+'WHS Controls'!$V$11&lt;='WHS Controls'!$V$36,O35+'WHS Controls'!$V$11&gt;='WHS Controls'!$V$37),O35+'WHS Controls'!$V$11,IF(O35+'WHS Controls'!$V$11&gt;'WHS Controls'!$V$36,'WHS Controls'!$V$36,'WHS Controls'!$V$37))</f>
        <v>8.5</v>
      </c>
      <c r="P36" s="56">
        <f t="shared" si="10"/>
        <v>3040.4500000000003</v>
      </c>
      <c r="Q36" s="58">
        <f t="shared" si="11"/>
        <v>388882.14980912517</v>
      </c>
      <c r="R36" s="25"/>
      <c r="S36" s="25"/>
      <c r="T36" s="25"/>
      <c r="U36" s="20">
        <f t="shared" si="16"/>
        <v>14.645735419863518</v>
      </c>
      <c r="X36" s="141">
        <f t="shared" si="0"/>
        <v>2033</v>
      </c>
      <c r="Y36" s="57">
        <f t="shared" si="5"/>
        <v>14.645735419863518</v>
      </c>
      <c r="Z36" s="25"/>
    </row>
    <row r="37" spans="1:26" x14ac:dyDescent="0.15">
      <c r="A37" s="139">
        <f t="shared" si="6"/>
        <v>2034</v>
      </c>
      <c r="B37" s="139">
        <v>2034</v>
      </c>
      <c r="D37" s="140">
        <v>2034</v>
      </c>
      <c r="E37" s="126">
        <f>'WHS Projections data for calcs'!B33</f>
        <v>36080</v>
      </c>
      <c r="F37" s="56">
        <f>'WHS Projections data for calcs'!C33</f>
        <v>2689943</v>
      </c>
      <c r="G37" s="59">
        <f t="shared" si="15"/>
        <v>14.456891830389162</v>
      </c>
      <c r="H37" s="56">
        <f t="shared" si="13"/>
        <v>388882.14980912517</v>
      </c>
      <c r="I37" s="60">
        <f>IF(AND(I36+'WHS Controls'!$P$11&lt;='WHS Controls'!$P$36,I36+'WHS Controls'!$P$11&gt;='WHS Controls'!$P$37),I36+'WHS Controls'!$P$11,IF(I36+'WHS Controls'!$P$11&gt;'WHS Controls'!$P$36,'WHS Controls'!$P$36,'WHS Controls'!$P$37))</f>
        <v>2.5</v>
      </c>
      <c r="J37" s="56">
        <f t="shared" si="14"/>
        <v>9722.0537452281296</v>
      </c>
      <c r="K37" s="60">
        <f t="shared" si="7"/>
        <v>0.75</v>
      </c>
      <c r="L37" s="56">
        <f t="shared" si="8"/>
        <v>2916.6161235684385</v>
      </c>
      <c r="M37" s="60">
        <f>IF(AND(M36+'WHS Controls'!$S$11&lt;='WHS Controls'!$S$36,M36+'WHS Controls'!$S$11&gt;='WHS Controls'!$S$37),M36+'WHS Controls'!$S$11,IF(M36+'WHS Controls'!$S$11&gt;'WHS Controls'!$S$36,'WHS Controls'!$S$36,'WHS Controls'!$S$37))</f>
        <v>0.2</v>
      </c>
      <c r="N37" s="56">
        <f t="shared" si="9"/>
        <v>5379.8860000000004</v>
      </c>
      <c r="O37" s="59">
        <f>IF(AND(O36+'WHS Controls'!$V$11&lt;='WHS Controls'!$V$36,O36+'WHS Controls'!$V$11&gt;='WHS Controls'!$V$37),O36+'WHS Controls'!$V$11,IF(O36+'WHS Controls'!$V$11&gt;'WHS Controls'!$V$36,'WHS Controls'!$V$36,'WHS Controls'!$V$37))</f>
        <v>8.5</v>
      </c>
      <c r="P37" s="56">
        <f t="shared" si="10"/>
        <v>3066.8</v>
      </c>
      <c r="Q37" s="58">
        <f t="shared" si="11"/>
        <v>384690.16594032856</v>
      </c>
      <c r="R37" s="25"/>
      <c r="S37" s="25"/>
      <c r="T37" s="25"/>
      <c r="U37" s="20">
        <f t="shared" si="16"/>
        <v>14.456891830389162</v>
      </c>
      <c r="X37" s="141">
        <f t="shared" si="0"/>
        <v>2034</v>
      </c>
      <c r="Y37" s="57">
        <f t="shared" si="5"/>
        <v>14.456891830389162</v>
      </c>
      <c r="Z37" s="25"/>
    </row>
    <row r="38" spans="1:26" x14ac:dyDescent="0.15">
      <c r="A38" s="139">
        <f t="shared" si="6"/>
        <v>2035</v>
      </c>
      <c r="B38" s="139">
        <v>2035</v>
      </c>
      <c r="D38" s="140">
        <v>2035</v>
      </c>
      <c r="E38" s="126">
        <f>'WHS Projections data for calcs'!B34</f>
        <v>36378</v>
      </c>
      <c r="F38" s="56">
        <f>'WHS Projections data for calcs'!C34</f>
        <v>2694618</v>
      </c>
      <c r="G38" s="59">
        <f>Q37/F38*100</f>
        <v>14.276241231236805</v>
      </c>
      <c r="H38" s="56">
        <f t="shared" si="13"/>
        <v>384690.16594032856</v>
      </c>
      <c r="I38" s="60">
        <f>IF(AND(I37+'WHS Controls'!$P$11&lt;='WHS Controls'!$P$36,I37+'WHS Controls'!$P$11&gt;='WHS Controls'!$P$37),I37+'WHS Controls'!$P$11,IF(I37+'WHS Controls'!$P$11&gt;'WHS Controls'!$P$36,'WHS Controls'!$P$36,'WHS Controls'!$P$37))</f>
        <v>2.5</v>
      </c>
      <c r="J38" s="56">
        <f t="shared" si="14"/>
        <v>9617.2541485082147</v>
      </c>
      <c r="K38" s="60">
        <f t="shared" si="7"/>
        <v>0.75</v>
      </c>
      <c r="L38" s="56">
        <f t="shared" si="8"/>
        <v>2885.1762445524641</v>
      </c>
      <c r="M38" s="60">
        <f>IF(AND(M37+'WHS Controls'!$S$11&lt;='WHS Controls'!$S$36,M37+'WHS Controls'!$S$11&gt;='WHS Controls'!$S$37),M37+'WHS Controls'!$S$11,IF(M37+'WHS Controls'!$S$11&gt;'WHS Controls'!$S$36,'WHS Controls'!$S$36,'WHS Controls'!$S$37))</f>
        <v>0.2</v>
      </c>
      <c r="N38" s="56">
        <f t="shared" si="9"/>
        <v>5389.2359999999999</v>
      </c>
      <c r="O38" s="59">
        <f>IF(AND(O37+'WHS Controls'!$V$11&lt;='WHS Controls'!$V$36,O37+'WHS Controls'!$V$11&gt;='WHS Controls'!$V$37),O37+'WHS Controls'!$V$11,IF(O37+'WHS Controls'!$V$11&gt;'WHS Controls'!$V$36,'WHS Controls'!$V$36,'WHS Controls'!$V$37))</f>
        <v>8.5</v>
      </c>
      <c r="P38" s="56">
        <f t="shared" si="10"/>
        <v>3092.13</v>
      </c>
      <c r="Q38" s="58">
        <f t="shared" si="11"/>
        <v>380669.10154726787</v>
      </c>
      <c r="R38" s="25"/>
      <c r="S38" s="25"/>
      <c r="T38" s="25"/>
      <c r="U38" s="20">
        <f t="shared" si="16"/>
        <v>14.276241231236805</v>
      </c>
      <c r="X38" s="141">
        <f t="shared" si="0"/>
        <v>2035</v>
      </c>
      <c r="Y38" s="57">
        <f t="shared" si="5"/>
        <v>14.276241231236805</v>
      </c>
      <c r="Z38" s="25"/>
    </row>
    <row r="39" spans="1:26" x14ac:dyDescent="0.15">
      <c r="A39" s="139">
        <f t="shared" si="6"/>
        <v>2036</v>
      </c>
      <c r="B39" s="139">
        <v>2036</v>
      </c>
      <c r="D39" s="140">
        <v>2036</v>
      </c>
      <c r="E39" s="126">
        <f>'WHS Projections data for calcs'!B35</f>
        <v>36660</v>
      </c>
      <c r="F39" s="56">
        <f>'WHS Projections data for calcs'!C35</f>
        <v>2699210</v>
      </c>
      <c r="G39" s="59">
        <f t="shared" si="15"/>
        <v>14.102982040940418</v>
      </c>
      <c r="H39" s="56">
        <f t="shared" si="13"/>
        <v>380669.10154726787</v>
      </c>
      <c r="I39" s="60">
        <f>IF(AND(I38+'WHS Controls'!$P$11&lt;='WHS Controls'!$P$36,I38+'WHS Controls'!$P$11&gt;='WHS Controls'!$P$37),I38+'WHS Controls'!$P$11,IF(I38+'WHS Controls'!$P$11&gt;'WHS Controls'!$P$36,'WHS Controls'!$P$36,'WHS Controls'!$P$37))</f>
        <v>2.5</v>
      </c>
      <c r="J39" s="56">
        <f t="shared" si="14"/>
        <v>9516.7275386816964</v>
      </c>
      <c r="K39" s="60">
        <f t="shared" si="7"/>
        <v>0.75</v>
      </c>
      <c r="L39" s="56">
        <f t="shared" si="8"/>
        <v>2855.018261604509</v>
      </c>
      <c r="M39" s="60">
        <f>IF(AND(M38+'WHS Controls'!$S$11&lt;='WHS Controls'!$S$36,M38+'WHS Controls'!$S$11&gt;='WHS Controls'!$S$37),M38+'WHS Controls'!$S$11,IF(M38+'WHS Controls'!$S$11&gt;'WHS Controls'!$S$36,'WHS Controls'!$S$36,'WHS Controls'!$S$37))</f>
        <v>0.2</v>
      </c>
      <c r="N39" s="56">
        <f t="shared" si="9"/>
        <v>5398.42</v>
      </c>
      <c r="O39" s="59">
        <f>IF(AND(O38+'WHS Controls'!$V$11&lt;='WHS Controls'!$V$36,O38+'WHS Controls'!$V$11&gt;='WHS Controls'!$V$37),O38+'WHS Controls'!$V$11,IF(O38+'WHS Controls'!$V$11&gt;'WHS Controls'!$V$36,'WHS Controls'!$V$36,'WHS Controls'!$V$37))</f>
        <v>8.5</v>
      </c>
      <c r="P39" s="56">
        <f t="shared" si="10"/>
        <v>3116.1000000000004</v>
      </c>
      <c r="Q39" s="58">
        <f t="shared" si="11"/>
        <v>376811.87574698159</v>
      </c>
      <c r="R39" s="25"/>
      <c r="S39" s="25"/>
      <c r="T39" s="25"/>
      <c r="U39" s="20">
        <f>G39</f>
        <v>14.102982040940418</v>
      </c>
      <c r="X39" s="141">
        <f t="shared" si="0"/>
        <v>2036</v>
      </c>
      <c r="Y39" s="57">
        <f t="shared" si="5"/>
        <v>14.102982040940418</v>
      </c>
      <c r="Z39" s="25"/>
    </row>
    <row r="40" spans="1:26" x14ac:dyDescent="0.15">
      <c r="A40" s="139">
        <f t="shared" si="6"/>
        <v>2037</v>
      </c>
      <c r="B40" s="139">
        <v>2037</v>
      </c>
      <c r="D40" s="140">
        <v>2037</v>
      </c>
      <c r="E40" s="126">
        <f>'WHS Projections data for calcs'!B36</f>
        <v>36943</v>
      </c>
      <c r="F40" s="56">
        <f>'WHS Projections data for calcs'!C36</f>
        <v>2703757</v>
      </c>
      <c r="G40" s="59">
        <f>Q39/F40*100</f>
        <v>13.936602873223503</v>
      </c>
      <c r="H40" s="56">
        <f t="shared" si="13"/>
        <v>376811.87574698159</v>
      </c>
      <c r="I40" s="60">
        <f>IF(AND(I39+'WHS Controls'!$P$11&lt;='WHS Controls'!$P$36,I39+'WHS Controls'!$P$11&gt;='WHS Controls'!$P$37),I39+'WHS Controls'!$P$11,IF(I39+'WHS Controls'!$P$11&gt;'WHS Controls'!$P$36,'WHS Controls'!$P$36,'WHS Controls'!$P$37))</f>
        <v>2.5</v>
      </c>
      <c r="J40" s="56">
        <f t="shared" si="14"/>
        <v>9420.2968936745401</v>
      </c>
      <c r="K40" s="60">
        <f t="shared" si="7"/>
        <v>0.75</v>
      </c>
      <c r="L40" s="56">
        <f t="shared" si="8"/>
        <v>2826.089068102362</v>
      </c>
      <c r="M40" s="60">
        <f>IF(AND(M39+'WHS Controls'!$S$11&lt;='WHS Controls'!$S$36,M39+'WHS Controls'!$S$11&gt;='WHS Controls'!$S$37),M39+'WHS Controls'!$S$11,IF(M39+'WHS Controls'!$S$11&gt;'WHS Controls'!$S$36,'WHS Controls'!$S$36,'WHS Controls'!$S$37))</f>
        <v>0.2</v>
      </c>
      <c r="N40" s="56">
        <f t="shared" si="9"/>
        <v>5407.5140000000001</v>
      </c>
      <c r="O40" s="59">
        <f>IF(AND(O39+'WHS Controls'!$V$11&lt;='WHS Controls'!$V$36,O39+'WHS Controls'!$V$11&gt;='WHS Controls'!$V$37),O39+'WHS Controls'!$V$11,IF(O39+'WHS Controls'!$V$11&gt;'WHS Controls'!$V$36,'WHS Controls'!$V$36,'WHS Controls'!$V$37))</f>
        <v>8.5</v>
      </c>
      <c r="P40" s="56">
        <f t="shared" si="10"/>
        <v>3140.1550000000002</v>
      </c>
      <c r="Q40" s="58">
        <f t="shared" si="11"/>
        <v>373113.15878520475</v>
      </c>
      <c r="R40" s="25"/>
      <c r="S40" s="25"/>
      <c r="T40" s="25"/>
      <c r="U40" s="20">
        <f>G40</f>
        <v>13.936602873223503</v>
      </c>
      <c r="X40" s="141">
        <f t="shared" si="0"/>
        <v>2037</v>
      </c>
      <c r="Y40" s="57">
        <f t="shared" si="5"/>
        <v>13.936602873223503</v>
      </c>
      <c r="Z40" s="25"/>
    </row>
    <row r="41" spans="1:26" x14ac:dyDescent="0.15">
      <c r="A41" s="139">
        <f t="shared" si="6"/>
        <v>2038</v>
      </c>
      <c r="B41" s="139">
        <v>2038</v>
      </c>
      <c r="D41" s="140">
        <v>2038</v>
      </c>
      <c r="E41" s="126">
        <f>'WHS Projections data for calcs'!B37</f>
        <v>37086</v>
      </c>
      <c r="F41" s="56">
        <f>'WHS Projections data for calcs'!C37</f>
        <v>2708294</v>
      </c>
      <c r="G41" s="59">
        <f>Q40/F41*100</f>
        <v>13.776685942708019</v>
      </c>
      <c r="H41" s="56">
        <f t="shared" si="13"/>
        <v>373113.15878520475</v>
      </c>
      <c r="I41" s="60">
        <f>IF(AND(I40+'WHS Controls'!$P$11&lt;='WHS Controls'!$P$36,I40+'WHS Controls'!$P$11&gt;='WHS Controls'!$P$37),I40+'WHS Controls'!$P$11,IF(I40+'WHS Controls'!$P$11&gt;'WHS Controls'!$P$36,'WHS Controls'!$P$36,'WHS Controls'!$P$37))</f>
        <v>2.5</v>
      </c>
      <c r="J41" s="56">
        <f t="shared" si="14"/>
        <v>9327.8289696301199</v>
      </c>
      <c r="K41" s="60">
        <f t="shared" si="7"/>
        <v>0.75</v>
      </c>
      <c r="L41" s="56">
        <f t="shared" si="8"/>
        <v>2798.3486908890354</v>
      </c>
      <c r="M41" s="60">
        <f>IF(AND(M40+'WHS Controls'!$S$11&lt;='WHS Controls'!$S$36,M40+'WHS Controls'!$S$11&gt;='WHS Controls'!$S$37),M40+'WHS Controls'!$S$11,IF(M40+'WHS Controls'!$S$11&gt;'WHS Controls'!$S$36,'WHS Controls'!$S$36,'WHS Controls'!$S$37))</f>
        <v>0.2</v>
      </c>
      <c r="N41" s="56">
        <f t="shared" si="9"/>
        <v>5416.5879999999997</v>
      </c>
      <c r="O41" s="59">
        <f>IF(AND(O40+'WHS Controls'!$V$11&lt;='WHS Controls'!$V$36,O40+'WHS Controls'!$V$11&gt;='WHS Controls'!$V$37),O40+'WHS Controls'!$V$11,IF(O40+'WHS Controls'!$V$11&gt;'WHS Controls'!$V$36,'WHS Controls'!$V$36,'WHS Controls'!$V$37))</f>
        <v>8.5</v>
      </c>
      <c r="P41" s="56">
        <f t="shared" si="10"/>
        <v>3152.3100000000004</v>
      </c>
      <c r="Q41" s="58">
        <f t="shared" si="11"/>
        <v>369555.8791246856</v>
      </c>
      <c r="R41" s="25"/>
      <c r="S41" s="25"/>
      <c r="T41" s="25"/>
      <c r="U41" s="20">
        <f t="shared" ref="U41:U42" si="17">G41</f>
        <v>13.776685942708019</v>
      </c>
      <c r="X41" s="141">
        <f t="shared" si="0"/>
        <v>2038</v>
      </c>
      <c r="Y41" s="57">
        <f t="shared" si="5"/>
        <v>13.776685942708019</v>
      </c>
      <c r="Z41" s="25"/>
    </row>
    <row r="42" spans="1:26" x14ac:dyDescent="0.15">
      <c r="A42" s="139">
        <f t="shared" si="6"/>
        <v>2039</v>
      </c>
      <c r="B42" s="139">
        <v>2039</v>
      </c>
      <c r="D42" s="140">
        <v>2039</v>
      </c>
      <c r="E42" s="126">
        <f>'WHS Projections data for calcs'!B38</f>
        <v>37078</v>
      </c>
      <c r="F42" s="56">
        <f>'WHS Projections data for calcs'!C38</f>
        <v>2712678</v>
      </c>
      <c r="G42" s="59">
        <f>Q41/F42*100</f>
        <v>13.623285886665709</v>
      </c>
      <c r="H42" s="56">
        <f>Q41</f>
        <v>369555.8791246856</v>
      </c>
      <c r="I42" s="60">
        <f>IF(AND(I41+'WHS Controls'!$P$11&lt;='WHS Controls'!$P$36,I41+'WHS Controls'!$P$11&gt;='WHS Controls'!$P$37),I41+'WHS Controls'!$P$11,IF(I41+'WHS Controls'!$P$11&gt;'WHS Controls'!$P$36,'WHS Controls'!$P$36,'WHS Controls'!$P$37))</f>
        <v>2.5</v>
      </c>
      <c r="J42" s="56">
        <f t="shared" si="14"/>
        <v>9238.89697811714</v>
      </c>
      <c r="K42" s="60">
        <f t="shared" si="7"/>
        <v>0.75</v>
      </c>
      <c r="L42" s="56">
        <f t="shared" si="8"/>
        <v>2771.6690934351418</v>
      </c>
      <c r="M42" s="60">
        <f>IF(AND(M41+'WHS Controls'!$S$11&lt;='WHS Controls'!$S$36,M41+'WHS Controls'!$S$11&gt;='WHS Controls'!$S$37),M41+'WHS Controls'!$S$11,IF(M41+'WHS Controls'!$S$11&gt;'WHS Controls'!$S$36,'WHS Controls'!$S$36,'WHS Controls'!$S$37))</f>
        <v>0.2</v>
      </c>
      <c r="N42" s="56">
        <f t="shared" si="9"/>
        <v>5425.3559999999998</v>
      </c>
      <c r="O42" s="59">
        <f>IF(AND(O41+'WHS Controls'!$V$11&lt;='WHS Controls'!$V$36,O41+'WHS Controls'!$V$11&gt;='WHS Controls'!$V$37),O41+'WHS Controls'!$V$11,IF(O41+'WHS Controls'!$V$11&gt;'WHS Controls'!$V$36,'WHS Controls'!$V$36,'WHS Controls'!$V$37))</f>
        <v>8.5</v>
      </c>
      <c r="P42" s="56">
        <f t="shared" si="10"/>
        <v>3151.63</v>
      </c>
      <c r="Q42" s="58">
        <f t="shared" si="11"/>
        <v>366122.29905313335</v>
      </c>
      <c r="R42" s="25"/>
      <c r="S42" s="25"/>
      <c r="T42" s="25"/>
      <c r="U42" s="20">
        <f t="shared" si="17"/>
        <v>13.623285886665709</v>
      </c>
      <c r="X42" s="141">
        <f t="shared" si="0"/>
        <v>2039</v>
      </c>
      <c r="Y42" s="57">
        <f t="shared" si="5"/>
        <v>13.623285886665709</v>
      </c>
      <c r="Z42" s="25"/>
    </row>
    <row r="44" spans="1:26" x14ac:dyDescent="0.15">
      <c r="U44" s="55"/>
      <c r="X44" s="49" t="s">
        <v>290</v>
      </c>
    </row>
    <row r="45" spans="1:26" x14ac:dyDescent="0.15">
      <c r="U45" s="55"/>
      <c r="X45" s="139">
        <f>INDEX($X$8:$X$42,MATCH(TRUE,INDEX($X$8:$X$42&lt;&gt;"",),))</f>
        <v>2027</v>
      </c>
    </row>
    <row r="46" spans="1:26" x14ac:dyDescent="0.15">
      <c r="D46" s="129"/>
      <c r="E46" s="2"/>
      <c r="F46" s="2"/>
      <c r="G46" s="2"/>
      <c r="H46" s="2"/>
      <c r="I46" s="2"/>
      <c r="J46" s="2"/>
      <c r="K46" s="2"/>
      <c r="L46" s="2"/>
      <c r="M46" s="2"/>
      <c r="N46" s="2"/>
      <c r="O46" s="2"/>
      <c r="P46" s="2"/>
      <c r="Q46" s="2"/>
      <c r="U46" s="55"/>
      <c r="X46" s="139">
        <f>IFERROR(X45,"Target not met")</f>
        <v>2027</v>
      </c>
    </row>
    <row r="47" spans="1:26" x14ac:dyDescent="0.15">
      <c r="D47" s="2"/>
      <c r="E47" s="2"/>
      <c r="F47" s="2"/>
      <c r="G47" s="2"/>
      <c r="H47" s="2"/>
      <c r="I47" s="2"/>
      <c r="J47" s="2"/>
      <c r="K47" s="2"/>
      <c r="L47" s="2"/>
      <c r="M47" s="2"/>
      <c r="N47" s="2"/>
      <c r="O47" s="2"/>
      <c r="P47" s="2"/>
      <c r="Q47" s="2"/>
      <c r="U47" s="55"/>
    </row>
    <row r="48" spans="1:26" x14ac:dyDescent="0.15">
      <c r="D48" s="129"/>
      <c r="E48" s="2"/>
      <c r="F48" s="2"/>
      <c r="G48" s="2"/>
      <c r="H48" s="2"/>
      <c r="I48" s="2"/>
      <c r="J48" s="2"/>
      <c r="K48" s="2"/>
      <c r="L48" s="2"/>
      <c r="M48" s="2"/>
      <c r="N48" s="2"/>
      <c r="O48" s="2"/>
      <c r="P48" s="2"/>
      <c r="Q48" s="2"/>
      <c r="U48" s="55"/>
    </row>
    <row r="49" spans="4:21" x14ac:dyDescent="0.15">
      <c r="D49" s="2"/>
      <c r="E49" s="2"/>
      <c r="F49" s="2"/>
      <c r="G49" s="2"/>
      <c r="H49" s="2"/>
      <c r="I49" s="2"/>
      <c r="J49" s="2"/>
      <c r="K49" s="2"/>
      <c r="L49" s="2"/>
      <c r="M49" s="2"/>
      <c r="N49" s="2"/>
      <c r="O49" s="2"/>
      <c r="P49" s="2"/>
      <c r="Q49" s="2"/>
      <c r="U49" s="55"/>
    </row>
    <row r="50" spans="4:21" x14ac:dyDescent="0.15">
      <c r="D50" s="145"/>
      <c r="E50" s="204"/>
      <c r="F50" s="204"/>
      <c r="G50" s="2"/>
      <c r="H50" s="2"/>
      <c r="I50" s="130"/>
      <c r="J50" s="130"/>
      <c r="K50" s="130"/>
      <c r="L50" s="130"/>
      <c r="M50" s="2"/>
      <c r="N50" s="2"/>
      <c r="O50" s="2"/>
      <c r="P50" s="2"/>
      <c r="Q50" s="2"/>
      <c r="U50" s="55"/>
    </row>
    <row r="51" spans="4:21" x14ac:dyDescent="0.15">
      <c r="D51" s="145"/>
      <c r="E51" s="2"/>
      <c r="F51" s="2"/>
      <c r="G51" s="2"/>
      <c r="H51" s="2"/>
      <c r="I51" s="131"/>
      <c r="J51" s="131"/>
      <c r="K51" s="132"/>
      <c r="L51" s="132"/>
      <c r="M51" s="2"/>
      <c r="N51" s="2"/>
      <c r="O51" s="2"/>
      <c r="P51" s="2"/>
      <c r="Q51" s="2"/>
      <c r="U51" s="55"/>
    </row>
    <row r="52" spans="4:21" x14ac:dyDescent="0.15">
      <c r="D52" s="145"/>
      <c r="E52" s="2"/>
      <c r="F52" s="2"/>
      <c r="G52" s="2"/>
      <c r="H52" s="2"/>
      <c r="I52" s="131"/>
      <c r="J52" s="131"/>
      <c r="K52" s="132"/>
      <c r="L52" s="132"/>
      <c r="M52" s="2"/>
      <c r="N52" s="2"/>
      <c r="O52" s="2"/>
      <c r="P52" s="2"/>
      <c r="Q52" s="2"/>
      <c r="U52" s="55"/>
    </row>
    <row r="53" spans="4:21" x14ac:dyDescent="0.15">
      <c r="D53" s="145"/>
      <c r="E53" s="2"/>
      <c r="F53" s="2"/>
      <c r="G53" s="2"/>
      <c r="H53" s="2"/>
      <c r="I53" s="131"/>
      <c r="J53" s="131"/>
      <c r="K53" s="132"/>
      <c r="L53" s="132"/>
      <c r="M53" s="2"/>
      <c r="N53" s="2"/>
      <c r="O53" s="2"/>
      <c r="P53" s="2"/>
      <c r="Q53" s="2"/>
      <c r="U53" s="55"/>
    </row>
    <row r="54" spans="4:21" x14ac:dyDescent="0.15">
      <c r="D54" s="145"/>
      <c r="E54" s="2"/>
      <c r="F54" s="2"/>
      <c r="G54" s="2"/>
      <c r="H54" s="2"/>
      <c r="I54" s="131"/>
      <c r="J54" s="131"/>
      <c r="K54" s="132"/>
      <c r="L54" s="132"/>
      <c r="M54" s="2"/>
      <c r="N54" s="2"/>
      <c r="O54" s="2"/>
      <c r="P54" s="2"/>
      <c r="Q54" s="2"/>
      <c r="U54" s="55"/>
    </row>
    <row r="55" spans="4:21" x14ac:dyDescent="0.15">
      <c r="D55" s="145"/>
      <c r="E55" s="2"/>
      <c r="F55" s="2"/>
      <c r="G55" s="2"/>
      <c r="H55" s="2"/>
      <c r="I55" s="131"/>
      <c r="J55" s="131"/>
      <c r="K55" s="132"/>
      <c r="L55" s="132"/>
      <c r="M55" s="2"/>
      <c r="N55" s="2"/>
      <c r="O55" s="2"/>
      <c r="P55" s="2"/>
      <c r="Q55" s="2"/>
    </row>
    <row r="56" spans="4:21" x14ac:dyDescent="0.15">
      <c r="D56" s="145"/>
      <c r="E56" s="2"/>
      <c r="F56" s="2"/>
      <c r="G56" s="2"/>
      <c r="H56" s="2"/>
      <c r="I56" s="131"/>
      <c r="J56" s="131"/>
      <c r="K56" s="132"/>
      <c r="L56" s="132"/>
      <c r="M56" s="2"/>
      <c r="N56" s="2"/>
      <c r="O56" s="2"/>
      <c r="P56" s="2"/>
      <c r="Q56" s="2"/>
    </row>
    <row r="57" spans="4:21" x14ac:dyDescent="0.15">
      <c r="D57" s="145"/>
      <c r="E57" s="2"/>
      <c r="F57" s="2"/>
      <c r="G57" s="2"/>
      <c r="H57" s="2"/>
      <c r="I57" s="131"/>
      <c r="J57" s="131"/>
      <c r="K57" s="132"/>
      <c r="L57" s="132"/>
      <c r="M57" s="2"/>
      <c r="N57" s="2"/>
      <c r="O57" s="2"/>
      <c r="P57" s="2"/>
      <c r="Q57" s="2"/>
    </row>
    <row r="58" spans="4:21" x14ac:dyDescent="0.15">
      <c r="D58" s="145"/>
      <c r="E58" s="2"/>
      <c r="F58" s="2"/>
      <c r="G58" s="2"/>
      <c r="H58" s="2"/>
      <c r="I58" s="131"/>
      <c r="J58" s="131"/>
      <c r="K58" s="132"/>
      <c r="L58" s="132"/>
      <c r="M58" s="2"/>
      <c r="N58" s="2"/>
      <c r="O58" s="2"/>
      <c r="P58" s="2"/>
      <c r="Q58" s="2"/>
    </row>
    <row r="59" spans="4:21" x14ac:dyDescent="0.15">
      <c r="D59" s="145"/>
      <c r="E59" s="2"/>
      <c r="F59" s="2"/>
      <c r="G59" s="2"/>
      <c r="H59" s="2"/>
      <c r="I59" s="131"/>
      <c r="J59" s="131"/>
      <c r="K59" s="132"/>
      <c r="L59" s="132"/>
      <c r="M59" s="2"/>
      <c r="N59" s="2"/>
      <c r="O59" s="2"/>
      <c r="P59" s="2"/>
      <c r="Q59" s="2"/>
    </row>
    <row r="60" spans="4:21" x14ac:dyDescent="0.15">
      <c r="D60" s="145"/>
      <c r="E60" s="2"/>
      <c r="F60" s="2"/>
      <c r="G60" s="2"/>
      <c r="H60" s="2"/>
      <c r="I60" s="131"/>
      <c r="J60" s="131"/>
      <c r="K60" s="132"/>
      <c r="L60" s="132"/>
      <c r="M60" s="2"/>
      <c r="N60" s="2"/>
      <c r="O60" s="2"/>
      <c r="P60" s="2"/>
      <c r="Q60" s="2"/>
    </row>
    <row r="61" spans="4:21" x14ac:dyDescent="0.15">
      <c r="D61" s="145"/>
      <c r="E61" s="2"/>
      <c r="F61" s="2"/>
      <c r="G61" s="2"/>
      <c r="H61" s="2"/>
      <c r="I61" s="131"/>
      <c r="J61" s="131"/>
      <c r="K61" s="132"/>
      <c r="L61" s="132"/>
      <c r="M61" s="2"/>
      <c r="N61" s="2"/>
      <c r="O61" s="2"/>
      <c r="P61" s="2"/>
      <c r="Q61" s="2"/>
    </row>
    <row r="62" spans="4:21" x14ac:dyDescent="0.15">
      <c r="D62" s="145"/>
      <c r="E62" s="2"/>
      <c r="F62" s="2"/>
      <c r="G62" s="2"/>
      <c r="H62" s="2"/>
      <c r="I62" s="131"/>
      <c r="J62" s="131"/>
      <c r="K62" s="132"/>
      <c r="L62" s="132"/>
      <c r="M62" s="2"/>
      <c r="N62" s="2"/>
      <c r="O62" s="2"/>
      <c r="P62" s="2"/>
      <c r="Q62" s="2"/>
    </row>
    <row r="63" spans="4:21" x14ac:dyDescent="0.15">
      <c r="D63" s="145"/>
      <c r="E63" s="133"/>
      <c r="F63" s="133"/>
      <c r="G63" s="2"/>
      <c r="H63" s="2"/>
      <c r="I63" s="134"/>
      <c r="J63" s="134"/>
      <c r="K63" s="135"/>
      <c r="L63" s="135"/>
      <c r="M63" s="2"/>
      <c r="N63" s="2"/>
      <c r="O63" s="2"/>
      <c r="P63" s="2"/>
      <c r="Q63" s="2"/>
    </row>
    <row r="64" spans="4:21" x14ac:dyDescent="0.15">
      <c r="D64" s="145"/>
      <c r="E64" s="133"/>
      <c r="F64" s="133"/>
      <c r="G64" s="2"/>
      <c r="H64" s="2"/>
      <c r="I64" s="134"/>
      <c r="J64" s="134"/>
      <c r="K64" s="135"/>
      <c r="L64" s="135"/>
      <c r="M64" s="2"/>
      <c r="N64" s="2"/>
      <c r="O64" s="136"/>
      <c r="P64" s="2"/>
      <c r="Q64" s="2"/>
    </row>
    <row r="65" spans="4:17" x14ac:dyDescent="0.15">
      <c r="D65" s="145"/>
      <c r="E65" s="133"/>
      <c r="F65" s="133"/>
      <c r="G65" s="2"/>
      <c r="H65" s="2"/>
      <c r="I65" s="134"/>
      <c r="J65" s="134"/>
      <c r="K65" s="135"/>
      <c r="L65" s="135"/>
      <c r="M65" s="137"/>
      <c r="N65" s="2"/>
      <c r="O65" s="136"/>
      <c r="P65" s="2"/>
      <c r="Q65" s="2"/>
    </row>
    <row r="66" spans="4:17" x14ac:dyDescent="0.15">
      <c r="D66" s="145"/>
      <c r="E66" s="133"/>
      <c r="F66" s="133"/>
      <c r="G66" s="2"/>
      <c r="H66" s="2"/>
      <c r="I66" s="134"/>
      <c r="J66" s="134"/>
      <c r="K66" s="135"/>
      <c r="L66" s="135"/>
      <c r="M66" s="137"/>
      <c r="N66" s="2"/>
      <c r="O66" s="136"/>
      <c r="P66" s="2"/>
      <c r="Q66" s="2"/>
    </row>
    <row r="67" spans="4:17" x14ac:dyDescent="0.15">
      <c r="D67" s="145"/>
      <c r="E67" s="133"/>
      <c r="F67" s="133"/>
      <c r="G67" s="2"/>
      <c r="H67" s="2"/>
      <c r="I67" s="134"/>
      <c r="J67" s="134"/>
      <c r="K67" s="135"/>
      <c r="L67" s="135"/>
      <c r="M67" s="137"/>
      <c r="N67" s="2"/>
      <c r="O67" s="136"/>
      <c r="P67" s="2"/>
      <c r="Q67" s="2"/>
    </row>
    <row r="68" spans="4:17" x14ac:dyDescent="0.15">
      <c r="D68" s="145"/>
      <c r="E68" s="133"/>
      <c r="F68" s="133"/>
      <c r="G68" s="2"/>
      <c r="H68" s="2"/>
      <c r="I68" s="134"/>
      <c r="J68" s="134"/>
      <c r="K68" s="135"/>
      <c r="L68" s="135"/>
      <c r="M68" s="137"/>
      <c r="N68" s="2"/>
      <c r="O68" s="2"/>
      <c r="P68" s="2"/>
      <c r="Q68" s="2"/>
    </row>
    <row r="69" spans="4:17" x14ac:dyDescent="0.15">
      <c r="D69" s="145"/>
      <c r="E69" s="133"/>
      <c r="F69" s="133"/>
      <c r="G69" s="2"/>
      <c r="H69" s="2"/>
      <c r="I69" s="134"/>
      <c r="J69" s="134"/>
      <c r="K69" s="135"/>
      <c r="L69" s="135"/>
      <c r="M69" s="137"/>
      <c r="N69" s="2"/>
      <c r="O69" s="2"/>
      <c r="P69" s="2"/>
      <c r="Q69" s="2"/>
    </row>
    <row r="70" spans="4:17" x14ac:dyDescent="0.15">
      <c r="D70" s="145"/>
      <c r="E70" s="133"/>
      <c r="F70" s="133"/>
      <c r="G70" s="2"/>
      <c r="H70" s="2"/>
      <c r="I70" s="134"/>
      <c r="J70" s="134"/>
      <c r="K70" s="135"/>
      <c r="L70" s="135"/>
      <c r="M70" s="137"/>
      <c r="N70" s="2"/>
      <c r="O70" s="2"/>
      <c r="P70" s="2"/>
      <c r="Q70" s="2"/>
    </row>
    <row r="71" spans="4:17" x14ac:dyDescent="0.15">
      <c r="D71" s="145"/>
      <c r="E71" s="133"/>
      <c r="F71" s="133"/>
      <c r="G71" s="2"/>
      <c r="H71" s="2"/>
      <c r="I71" s="134"/>
      <c r="J71" s="134"/>
      <c r="K71" s="135"/>
      <c r="L71" s="135"/>
      <c r="M71" s="137"/>
      <c r="N71" s="2"/>
      <c r="O71" s="2"/>
      <c r="P71" s="2"/>
      <c r="Q71" s="2"/>
    </row>
    <row r="72" spans="4:17" x14ac:dyDescent="0.15">
      <c r="D72" s="145"/>
      <c r="E72" s="133"/>
      <c r="F72" s="133"/>
      <c r="G72" s="2"/>
      <c r="H72" s="2"/>
      <c r="I72" s="134"/>
      <c r="J72" s="134"/>
      <c r="K72" s="135"/>
      <c r="L72" s="135"/>
      <c r="M72" s="137"/>
      <c r="N72" s="2"/>
      <c r="O72" s="2"/>
      <c r="P72" s="2"/>
      <c r="Q72" s="2"/>
    </row>
    <row r="73" spans="4:17" x14ac:dyDescent="0.15">
      <c r="D73" s="145"/>
      <c r="E73" s="133"/>
      <c r="F73" s="133"/>
      <c r="G73" s="2"/>
      <c r="H73" s="2"/>
      <c r="I73" s="134"/>
      <c r="J73" s="134"/>
      <c r="K73" s="135"/>
      <c r="L73" s="135"/>
      <c r="M73" s="137"/>
      <c r="N73" s="2"/>
      <c r="O73" s="2"/>
      <c r="P73" s="2"/>
      <c r="Q73" s="2"/>
    </row>
    <row r="74" spans="4:17" x14ac:dyDescent="0.15">
      <c r="D74" s="145"/>
      <c r="E74" s="133"/>
      <c r="F74" s="133"/>
      <c r="G74" s="2"/>
      <c r="H74" s="2"/>
      <c r="I74" s="134"/>
      <c r="J74" s="134"/>
      <c r="K74" s="135"/>
      <c r="L74" s="135"/>
      <c r="M74" s="137"/>
      <c r="N74" s="2"/>
      <c r="O74" s="2"/>
      <c r="P74" s="2"/>
      <c r="Q74" s="2"/>
    </row>
    <row r="75" spans="4:17" x14ac:dyDescent="0.15">
      <c r="D75" s="145"/>
      <c r="E75" s="133"/>
      <c r="F75" s="133"/>
      <c r="G75" s="2"/>
      <c r="H75" s="2"/>
      <c r="I75" s="134"/>
      <c r="J75" s="134"/>
      <c r="K75" s="135"/>
      <c r="L75" s="135"/>
      <c r="M75" s="137"/>
      <c r="N75" s="2"/>
      <c r="O75" s="2"/>
      <c r="P75" s="2"/>
      <c r="Q75" s="2"/>
    </row>
    <row r="76" spans="4:17" x14ac:dyDescent="0.15">
      <c r="D76" s="145"/>
      <c r="E76" s="133"/>
      <c r="F76" s="133"/>
      <c r="G76" s="2"/>
      <c r="H76" s="2"/>
      <c r="I76" s="134"/>
      <c r="J76" s="134"/>
      <c r="K76" s="135"/>
      <c r="L76" s="135"/>
      <c r="M76" s="137"/>
      <c r="N76" s="2"/>
      <c r="O76" s="2"/>
      <c r="P76" s="2"/>
      <c r="Q76" s="2"/>
    </row>
    <row r="77" spans="4:17" x14ac:dyDescent="0.15">
      <c r="D77" s="145"/>
      <c r="E77" s="133"/>
      <c r="F77" s="133"/>
      <c r="G77" s="2"/>
      <c r="H77" s="2"/>
      <c r="I77" s="134"/>
      <c r="J77" s="134"/>
      <c r="K77" s="135"/>
      <c r="L77" s="135"/>
      <c r="M77" s="137"/>
      <c r="N77" s="2"/>
      <c r="O77" s="2"/>
      <c r="P77" s="2"/>
      <c r="Q77" s="2"/>
    </row>
    <row r="78" spans="4:17" x14ac:dyDescent="0.15">
      <c r="D78" s="145"/>
      <c r="E78" s="133"/>
      <c r="F78" s="133"/>
      <c r="G78" s="2"/>
      <c r="H78" s="2"/>
      <c r="I78" s="134"/>
      <c r="J78" s="134"/>
      <c r="K78" s="135"/>
      <c r="L78" s="135"/>
      <c r="M78" s="137"/>
      <c r="N78" s="2"/>
      <c r="O78" s="2"/>
      <c r="P78" s="2"/>
      <c r="Q78" s="2"/>
    </row>
    <row r="79" spans="4:17" x14ac:dyDescent="0.15">
      <c r="D79" s="145"/>
      <c r="E79" s="133"/>
      <c r="F79" s="133"/>
      <c r="G79" s="2"/>
      <c r="H79" s="2"/>
      <c r="I79" s="134"/>
      <c r="J79" s="134"/>
      <c r="K79" s="135"/>
      <c r="L79" s="135"/>
      <c r="M79" s="137"/>
      <c r="N79" s="2"/>
      <c r="O79" s="2"/>
      <c r="P79" s="2"/>
      <c r="Q79" s="2"/>
    </row>
    <row r="80" spans="4:17" x14ac:dyDescent="0.15">
      <c r="D80" s="145"/>
      <c r="E80" s="133"/>
      <c r="F80" s="133"/>
      <c r="G80" s="2"/>
      <c r="H80" s="2"/>
      <c r="I80" s="134"/>
      <c r="J80" s="134"/>
      <c r="K80" s="135"/>
      <c r="L80" s="135"/>
      <c r="M80" s="137"/>
      <c r="N80" s="2"/>
      <c r="O80" s="2"/>
      <c r="P80" s="2"/>
      <c r="Q80" s="2"/>
    </row>
    <row r="81" spans="4:17" x14ac:dyDescent="0.15">
      <c r="D81" s="145"/>
      <c r="E81" s="133"/>
      <c r="F81" s="133"/>
      <c r="G81" s="2"/>
      <c r="H81" s="2"/>
      <c r="I81" s="134"/>
      <c r="J81" s="134"/>
      <c r="K81" s="135"/>
      <c r="L81" s="135"/>
      <c r="M81" s="137"/>
      <c r="N81" s="2"/>
      <c r="O81" s="2"/>
      <c r="P81" s="2"/>
      <c r="Q81" s="2"/>
    </row>
    <row r="82" spans="4:17" x14ac:dyDescent="0.15">
      <c r="D82" s="145"/>
      <c r="E82" s="133"/>
      <c r="F82" s="133"/>
      <c r="G82" s="2"/>
      <c r="H82" s="2"/>
      <c r="I82" s="134"/>
      <c r="J82" s="134"/>
      <c r="K82" s="135"/>
      <c r="L82" s="135"/>
      <c r="M82" s="137"/>
      <c r="N82" s="2"/>
      <c r="O82" s="2"/>
      <c r="P82" s="2"/>
      <c r="Q82" s="2"/>
    </row>
    <row r="83" spans="4:17" x14ac:dyDescent="0.15">
      <c r="D83" s="145"/>
      <c r="E83" s="133"/>
      <c r="F83" s="133"/>
      <c r="G83" s="2"/>
      <c r="H83" s="2"/>
      <c r="I83" s="134"/>
      <c r="J83" s="134"/>
      <c r="K83" s="135"/>
      <c r="L83" s="135"/>
      <c r="M83" s="137"/>
      <c r="N83" s="2"/>
      <c r="O83" s="2"/>
      <c r="P83" s="2"/>
      <c r="Q83" s="2"/>
    </row>
    <row r="84" spans="4:17" x14ac:dyDescent="0.15">
      <c r="D84" s="145"/>
      <c r="E84" s="133"/>
      <c r="F84" s="133"/>
      <c r="G84" s="2"/>
      <c r="H84" s="2"/>
      <c r="I84" s="134"/>
      <c r="J84" s="134"/>
      <c r="K84" s="135"/>
      <c r="L84" s="135"/>
      <c r="M84" s="137"/>
      <c r="N84" s="2"/>
      <c r="O84" s="2"/>
      <c r="P84" s="2"/>
      <c r="Q84" s="2"/>
    </row>
    <row r="85" spans="4:17" x14ac:dyDescent="0.15">
      <c r="H85" s="44"/>
      <c r="I85" s="44"/>
      <c r="J85" s="44"/>
      <c r="K85" s="44"/>
      <c r="L85" s="44"/>
    </row>
  </sheetData>
  <mergeCells count="11">
    <mergeCell ref="C6:D6"/>
    <mergeCell ref="G6:H6"/>
    <mergeCell ref="I6:J6"/>
    <mergeCell ref="K6:L6"/>
    <mergeCell ref="M6:N6"/>
    <mergeCell ref="E50:F50"/>
    <mergeCell ref="E5:F5"/>
    <mergeCell ref="G5:H5"/>
    <mergeCell ref="I5:L5"/>
    <mergeCell ref="M5:P5"/>
    <mergeCell ref="O6:P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showGridLines="0" workbookViewId="0">
      <selection activeCell="O47" sqref="O47"/>
    </sheetView>
  </sheetViews>
  <sheetFormatPr defaultRowHeight="11.25" x14ac:dyDescent="0.15"/>
  <cols>
    <col min="1" max="1" width="34.7109375" style="3" bestFit="1" customWidth="1"/>
    <col min="2" max="3" width="9.140625" style="3"/>
    <col min="4" max="4" width="19" style="3" customWidth="1"/>
    <col min="5" max="5" width="17.140625" style="3" customWidth="1"/>
    <col min="6" max="14" width="9.140625" style="3"/>
    <col min="15" max="15" width="12.42578125" style="3" bestFit="1" customWidth="1"/>
    <col min="16" max="16" width="12.28515625" style="3" customWidth="1"/>
    <col min="17" max="16384" width="9.140625" style="3"/>
  </cols>
  <sheetData>
    <row r="1" spans="1:16" x14ac:dyDescent="0.15">
      <c r="N1" s="1" t="s">
        <v>252</v>
      </c>
    </row>
    <row r="2" spans="1:16" x14ac:dyDescent="0.15">
      <c r="N2" s="1"/>
      <c r="P2" s="25" t="s">
        <v>254</v>
      </c>
    </row>
    <row r="3" spans="1:16" x14ac:dyDescent="0.15">
      <c r="A3" s="139"/>
      <c r="B3" s="139"/>
      <c r="C3" s="139" t="s">
        <v>129</v>
      </c>
      <c r="D3" s="139" t="s">
        <v>131</v>
      </c>
      <c r="E3" s="139" t="s">
        <v>142</v>
      </c>
      <c r="F3" s="139" t="s">
        <v>143</v>
      </c>
      <c r="G3" s="139" t="s">
        <v>144</v>
      </c>
      <c r="H3" s="139" t="s">
        <v>145</v>
      </c>
      <c r="I3" s="139" t="s">
        <v>146</v>
      </c>
      <c r="J3" s="139" t="s">
        <v>147</v>
      </c>
      <c r="K3" s="139" t="s">
        <v>148</v>
      </c>
      <c r="L3" s="139" t="s">
        <v>149</v>
      </c>
      <c r="M3" s="139" t="s">
        <v>150</v>
      </c>
      <c r="N3" s="1" t="s">
        <v>253</v>
      </c>
      <c r="O3" s="139" t="s">
        <v>316</v>
      </c>
      <c r="P3" s="139" t="s">
        <v>317</v>
      </c>
    </row>
    <row r="4" spans="1:16" x14ac:dyDescent="0.15">
      <c r="A4" s="139" t="s">
        <v>40</v>
      </c>
      <c r="B4" s="139" t="s">
        <v>229</v>
      </c>
      <c r="C4" s="55">
        <v>26.840510000000002</v>
      </c>
      <c r="D4" s="55">
        <v>26.35361</v>
      </c>
      <c r="E4" s="55">
        <v>25.037320000000001</v>
      </c>
      <c r="F4" s="55">
        <v>23.590479999999999</v>
      </c>
      <c r="G4" s="55">
        <v>23.508879999999998</v>
      </c>
      <c r="H4" s="55">
        <v>23.026029999999999</v>
      </c>
      <c r="I4" s="55">
        <v>22.36431</v>
      </c>
      <c r="J4" s="55">
        <v>22.612909999999999</v>
      </c>
      <c r="K4" s="55">
        <v>21.046720000000001</v>
      </c>
      <c r="L4" s="55">
        <v>20.317360000000001</v>
      </c>
      <c r="M4" s="55">
        <v>21.304860000000001</v>
      </c>
      <c r="N4" s="69">
        <v>18.369335502712126</v>
      </c>
      <c r="O4" s="69">
        <v>16.512075511492569</v>
      </c>
      <c r="P4" s="69">
        <v>20.226595493931683</v>
      </c>
    </row>
    <row r="5" spans="1:16" x14ac:dyDescent="0.15">
      <c r="A5" s="139" t="s">
        <v>51</v>
      </c>
      <c r="B5" s="139" t="s">
        <v>230</v>
      </c>
      <c r="C5" s="55">
        <v>25.968540000000001</v>
      </c>
      <c r="D5" s="55">
        <v>23.560480000000002</v>
      </c>
      <c r="E5" s="55">
        <v>21.852900000000002</v>
      </c>
      <c r="F5" s="55">
        <v>21.484380000000002</v>
      </c>
      <c r="G5" s="55">
        <v>22.029340000000001</v>
      </c>
      <c r="H5" s="55">
        <v>22.46049</v>
      </c>
      <c r="I5" s="55">
        <v>22.103850000000001</v>
      </c>
      <c r="J5" s="55">
        <v>20.836579999999998</v>
      </c>
      <c r="K5" s="55">
        <v>19.738440000000001</v>
      </c>
      <c r="L5" s="55">
        <v>18.598849999999999</v>
      </c>
      <c r="M5" s="55">
        <v>17.07901</v>
      </c>
      <c r="N5" s="69">
        <v>18.689930140031429</v>
      </c>
      <c r="O5" s="69">
        <v>16.140256257457182</v>
      </c>
      <c r="P5" s="69">
        <v>21.239604022605679</v>
      </c>
    </row>
    <row r="6" spans="1:16" x14ac:dyDescent="0.15">
      <c r="A6" s="139" t="s">
        <v>46</v>
      </c>
      <c r="B6" s="139" t="s">
        <v>231</v>
      </c>
      <c r="C6" s="55">
        <v>23.382549999999998</v>
      </c>
      <c r="D6" s="55">
        <v>24.300329999999999</v>
      </c>
      <c r="E6" s="55">
        <v>20.875699999999998</v>
      </c>
      <c r="F6" s="55">
        <v>17.467740000000003</v>
      </c>
      <c r="G6" s="55">
        <v>20.387340000000002</v>
      </c>
      <c r="H6" s="55">
        <v>21.287379999999999</v>
      </c>
      <c r="I6" s="55">
        <v>19.88203</v>
      </c>
      <c r="J6" s="55">
        <v>20.15286</v>
      </c>
      <c r="K6" s="55">
        <v>17.158560000000001</v>
      </c>
      <c r="L6" s="55">
        <v>17.403359999999999</v>
      </c>
      <c r="M6" s="55">
        <v>18.688120000000001</v>
      </c>
      <c r="N6" s="69">
        <v>18.199806348549465</v>
      </c>
      <c r="O6" s="69">
        <v>15.509095658334951</v>
      </c>
      <c r="P6" s="69">
        <v>20.890517038763981</v>
      </c>
    </row>
    <row r="7" spans="1:16" x14ac:dyDescent="0.15">
      <c r="A7" s="139" t="s">
        <v>56</v>
      </c>
      <c r="B7" s="139" t="s">
        <v>232</v>
      </c>
      <c r="C7" s="55">
        <v>27.465210000000003</v>
      </c>
      <c r="D7" s="55">
        <v>27.103120000000004</v>
      </c>
      <c r="E7" s="55">
        <v>25.599219999999999</v>
      </c>
      <c r="F7" s="55">
        <v>23.78134</v>
      </c>
      <c r="G7" s="55">
        <v>23.65652</v>
      </c>
      <c r="H7" s="55">
        <v>23.10915</v>
      </c>
      <c r="I7" s="55">
        <v>23.343779999999999</v>
      </c>
      <c r="J7" s="55">
        <v>23.645130000000002</v>
      </c>
      <c r="K7" s="55">
        <v>23.0535</v>
      </c>
      <c r="L7" s="55">
        <v>20.831679999999999</v>
      </c>
      <c r="M7" s="55">
        <v>18.65061</v>
      </c>
      <c r="N7" s="69">
        <v>21.012211003780887</v>
      </c>
      <c r="O7" s="69">
        <v>18.542106219691064</v>
      </c>
      <c r="P7" s="69">
        <v>23.482315787870711</v>
      </c>
    </row>
    <row r="8" spans="1:16" x14ac:dyDescent="0.15">
      <c r="A8" s="139" t="s">
        <v>66</v>
      </c>
      <c r="B8" s="139" t="s">
        <v>233</v>
      </c>
      <c r="C8" s="55">
        <v>28.37153</v>
      </c>
      <c r="D8" s="55">
        <v>28.002880000000001</v>
      </c>
      <c r="E8" s="55">
        <v>26.95936</v>
      </c>
      <c r="F8" s="55">
        <v>25.334669999999999</v>
      </c>
      <c r="G8" s="55">
        <v>25.784430000000004</v>
      </c>
      <c r="H8" s="55">
        <v>27.169900000000002</v>
      </c>
      <c r="I8" s="55">
        <v>26.268039999999999</v>
      </c>
      <c r="J8" s="55">
        <v>25.75845</v>
      </c>
      <c r="K8" s="55">
        <v>24.645240000000001</v>
      </c>
      <c r="L8" s="55">
        <v>23.41987</v>
      </c>
      <c r="M8" s="55">
        <v>23.003789999999999</v>
      </c>
      <c r="N8" s="69">
        <v>20.796904289418574</v>
      </c>
      <c r="O8" s="69">
        <v>17.776137576125446</v>
      </c>
      <c r="P8" s="69">
        <v>23.817671002711705</v>
      </c>
    </row>
    <row r="9" spans="1:16" x14ac:dyDescent="0.15">
      <c r="A9" s="139" t="s">
        <v>61</v>
      </c>
      <c r="B9" s="139" t="s">
        <v>234</v>
      </c>
      <c r="C9" s="55">
        <v>27.460139999999999</v>
      </c>
      <c r="D9" s="55">
        <v>27.304469999999998</v>
      </c>
      <c r="E9" s="55">
        <v>23.971540000000001</v>
      </c>
      <c r="F9" s="55">
        <v>24.627109999999998</v>
      </c>
      <c r="G9" s="55">
        <v>24.135349999999999</v>
      </c>
      <c r="H9" s="55">
        <v>23.16283</v>
      </c>
      <c r="I9" s="55">
        <v>21.220610000000001</v>
      </c>
      <c r="J9" s="55">
        <v>21.305489999999999</v>
      </c>
      <c r="K9" s="55">
        <v>22.575659999999999</v>
      </c>
      <c r="L9" s="55">
        <v>20.978339999999999</v>
      </c>
      <c r="M9" s="55">
        <v>19.003880000000002</v>
      </c>
      <c r="N9" s="69">
        <v>15.229068123642319</v>
      </c>
      <c r="O9" s="69">
        <v>12.616374625380999</v>
      </c>
      <c r="P9" s="69">
        <v>17.84176162190364</v>
      </c>
    </row>
    <row r="10" spans="1:16" x14ac:dyDescent="0.15">
      <c r="A10" s="139" t="s">
        <v>71</v>
      </c>
      <c r="B10" s="139" t="s">
        <v>235</v>
      </c>
      <c r="C10" s="55">
        <v>27.234690000000001</v>
      </c>
      <c r="D10" s="55">
        <v>27.700229999999998</v>
      </c>
      <c r="E10" s="55">
        <v>25.828010000000003</v>
      </c>
      <c r="F10" s="55">
        <v>25.46387</v>
      </c>
      <c r="G10" s="55">
        <v>24.59599</v>
      </c>
      <c r="H10" s="55">
        <v>23.976459999999999</v>
      </c>
      <c r="I10" s="55">
        <v>23.79908</v>
      </c>
      <c r="J10" s="55">
        <v>22.960059999999999</v>
      </c>
      <c r="K10" s="55">
        <v>22.634450000000001</v>
      </c>
      <c r="L10" s="55">
        <v>22.242419999999999</v>
      </c>
      <c r="M10" s="55">
        <v>20.72053</v>
      </c>
      <c r="N10" s="69">
        <v>18.540054330776105</v>
      </c>
      <c r="O10" s="69">
        <v>16.431490705584004</v>
      </c>
      <c r="P10" s="69">
        <v>20.648617955968206</v>
      </c>
    </row>
    <row r="11" spans="1:16" x14ac:dyDescent="0.15">
      <c r="A11" s="139"/>
      <c r="B11" s="139"/>
      <c r="C11" s="55" t="s">
        <v>128</v>
      </c>
      <c r="D11" s="139" t="s">
        <v>130</v>
      </c>
      <c r="E11" s="139" t="s">
        <v>151</v>
      </c>
      <c r="F11" s="139">
        <v>2008</v>
      </c>
      <c r="G11" s="139">
        <v>2009</v>
      </c>
      <c r="H11" s="139">
        <v>2010</v>
      </c>
      <c r="I11" s="139">
        <v>2011</v>
      </c>
      <c r="J11" s="139">
        <v>2012</v>
      </c>
      <c r="K11" s="139">
        <v>2013</v>
      </c>
      <c r="L11" s="139">
        <v>2014</v>
      </c>
      <c r="M11" s="139">
        <v>2015</v>
      </c>
      <c r="N11" s="69"/>
      <c r="O11" s="69"/>
      <c r="P11" s="69"/>
    </row>
    <row r="12" spans="1:16" x14ac:dyDescent="0.15">
      <c r="A12" s="139" t="s">
        <v>35</v>
      </c>
      <c r="B12" s="139" t="s">
        <v>236</v>
      </c>
      <c r="C12" s="55">
        <v>27.59077685579836</v>
      </c>
      <c r="D12" s="55">
        <v>25.439717601428949</v>
      </c>
      <c r="E12" s="55">
        <v>23.970797322983266</v>
      </c>
      <c r="F12" s="55">
        <v>23.537945833521061</v>
      </c>
      <c r="G12" s="55">
        <v>23.872106264614164</v>
      </c>
      <c r="H12" s="55">
        <v>23.096246691620614</v>
      </c>
      <c r="I12" s="55">
        <v>22.603857594977967</v>
      </c>
      <c r="J12" s="55">
        <v>22.632509033231035</v>
      </c>
      <c r="K12" s="55">
        <v>21.18036650909848</v>
      </c>
      <c r="L12" s="55">
        <v>20.427037284386287</v>
      </c>
      <c r="M12" s="55">
        <v>19.355331809744154</v>
      </c>
      <c r="N12" s="69">
        <v>18.635682587150036</v>
      </c>
      <c r="O12" s="69">
        <v>17.704756711162421</v>
      </c>
      <c r="P12" s="69">
        <v>19.566608463137655</v>
      </c>
    </row>
    <row r="13" spans="1:16" x14ac:dyDescent="0.15">
      <c r="A13" s="139"/>
      <c r="B13" s="139"/>
      <c r="C13" s="139"/>
      <c r="D13" s="139"/>
      <c r="E13" s="139"/>
      <c r="F13" s="139"/>
      <c r="G13" s="139"/>
      <c r="H13" s="139"/>
      <c r="I13" s="139"/>
      <c r="J13" s="139"/>
      <c r="K13" s="139"/>
      <c r="L13" s="139"/>
      <c r="M13" s="139"/>
      <c r="N13" s="139"/>
      <c r="O13" s="139"/>
      <c r="P13" s="139"/>
    </row>
    <row r="14" spans="1:16" x14ac:dyDescent="0.15">
      <c r="A14" s="139"/>
      <c r="B14" s="139"/>
      <c r="C14" s="139"/>
      <c r="D14" s="139"/>
      <c r="E14" s="139"/>
      <c r="F14" s="139"/>
      <c r="G14" s="139"/>
      <c r="H14" s="139"/>
      <c r="I14" s="139"/>
      <c r="J14" s="139"/>
      <c r="K14" s="139"/>
      <c r="L14" s="139"/>
      <c r="M14" s="139"/>
      <c r="N14" s="139"/>
      <c r="O14" s="139"/>
      <c r="P14" s="139"/>
    </row>
    <row r="15" spans="1:16" x14ac:dyDescent="0.15">
      <c r="A15" s="139"/>
      <c r="B15" s="139"/>
      <c r="C15" s="139"/>
      <c r="D15" s="139"/>
      <c r="E15" s="139"/>
      <c r="F15" s="139"/>
      <c r="G15" s="139"/>
      <c r="H15" s="139"/>
      <c r="I15" s="139"/>
      <c r="J15" s="139"/>
      <c r="K15" s="139"/>
      <c r="L15" s="139"/>
      <c r="M15" s="139"/>
      <c r="N15" s="139"/>
      <c r="O15" s="139" t="s">
        <v>318</v>
      </c>
      <c r="P15" s="139"/>
    </row>
    <row r="16" spans="1:16" x14ac:dyDescent="0.15">
      <c r="A16" s="139"/>
      <c r="B16" s="139"/>
      <c r="C16" s="139"/>
      <c r="D16" s="139"/>
      <c r="E16" s="139"/>
      <c r="F16" s="139"/>
      <c r="G16" s="139"/>
      <c r="H16" s="139"/>
      <c r="I16" s="139"/>
      <c r="J16" s="139"/>
      <c r="K16" s="139"/>
      <c r="L16" s="139"/>
      <c r="M16" s="139"/>
      <c r="N16" s="139"/>
      <c r="O16" s="144" t="s">
        <v>319</v>
      </c>
      <c r="P16" s="144" t="s">
        <v>320</v>
      </c>
    </row>
    <row r="17" spans="1:16" x14ac:dyDescent="0.15">
      <c r="A17" s="139"/>
      <c r="B17" s="139"/>
      <c r="C17" s="139"/>
      <c r="D17" s="139"/>
      <c r="E17" s="139"/>
      <c r="F17" s="139"/>
      <c r="G17" s="139"/>
      <c r="H17" s="139"/>
      <c r="I17" s="139"/>
      <c r="J17" s="139"/>
      <c r="K17" s="139"/>
      <c r="L17" s="139"/>
      <c r="M17" s="139"/>
      <c r="N17" s="139"/>
      <c r="O17" s="25">
        <v>1.8572599912195571</v>
      </c>
      <c r="P17" s="25">
        <v>1.8572599912195571</v>
      </c>
    </row>
    <row r="18" spans="1:16" x14ac:dyDescent="0.15">
      <c r="A18" s="139"/>
      <c r="B18" s="139"/>
      <c r="C18" s="139"/>
      <c r="D18" s="139"/>
      <c r="E18" s="139"/>
      <c r="F18" s="139"/>
      <c r="G18" s="139"/>
      <c r="H18" s="139"/>
      <c r="I18" s="139"/>
      <c r="J18" s="139"/>
      <c r="K18" s="139"/>
      <c r="L18" s="139"/>
      <c r="M18" s="139"/>
      <c r="N18" s="139"/>
      <c r="O18" s="25">
        <v>2.5496738825742469</v>
      </c>
      <c r="P18" s="25">
        <v>2.5496738825742504</v>
      </c>
    </row>
    <row r="19" spans="1:16" x14ac:dyDescent="0.15">
      <c r="A19" s="139"/>
      <c r="B19" s="139"/>
      <c r="C19" s="139"/>
      <c r="D19" s="139"/>
      <c r="E19" s="139"/>
      <c r="F19" s="139"/>
      <c r="G19" s="139"/>
      <c r="H19" s="139"/>
      <c r="I19" s="139"/>
      <c r="J19" s="139"/>
      <c r="K19" s="139"/>
      <c r="L19" s="139"/>
      <c r="M19" s="139"/>
      <c r="N19" s="139"/>
      <c r="O19" s="25">
        <v>2.6907106902145141</v>
      </c>
      <c r="P19" s="25">
        <v>2.6907106902145159</v>
      </c>
    </row>
    <row r="20" spans="1:16" x14ac:dyDescent="0.15">
      <c r="A20" s="139"/>
      <c r="B20" s="139"/>
      <c r="C20" s="139"/>
      <c r="D20" s="139"/>
      <c r="E20" s="139"/>
      <c r="F20" s="139"/>
      <c r="G20" s="139"/>
      <c r="H20" s="139"/>
      <c r="I20" s="139"/>
      <c r="J20" s="139"/>
      <c r="K20" s="139"/>
      <c r="L20" s="139"/>
      <c r="M20" s="139"/>
      <c r="N20" s="139"/>
      <c r="O20" s="25">
        <v>2.4701047840898234</v>
      </c>
      <c r="P20" s="25">
        <v>2.4701047840898234</v>
      </c>
    </row>
    <row r="21" spans="1:16" x14ac:dyDescent="0.15">
      <c r="A21" s="139"/>
      <c r="B21" s="139"/>
      <c r="C21" s="139"/>
      <c r="D21" s="139"/>
      <c r="E21" s="139"/>
      <c r="F21" s="139"/>
      <c r="G21" s="139"/>
      <c r="H21" s="139"/>
      <c r="I21" s="139"/>
      <c r="J21" s="139"/>
      <c r="K21" s="139"/>
      <c r="L21" s="139"/>
      <c r="M21" s="139"/>
      <c r="N21" s="139"/>
      <c r="O21" s="25">
        <v>3.0207667132931277</v>
      </c>
      <c r="P21" s="25">
        <v>3.0207667132931313</v>
      </c>
    </row>
    <row r="22" spans="1:16" x14ac:dyDescent="0.15">
      <c r="A22" s="139"/>
      <c r="B22" s="139"/>
      <c r="C22" s="139"/>
      <c r="D22" s="139"/>
      <c r="E22" s="139"/>
      <c r="F22" s="139"/>
      <c r="G22" s="139"/>
      <c r="H22" s="139"/>
      <c r="I22" s="139"/>
      <c r="J22" s="139"/>
      <c r="K22" s="139"/>
      <c r="L22" s="139"/>
      <c r="M22" s="139"/>
      <c r="N22" s="139"/>
      <c r="O22" s="25">
        <v>2.6126934982613204</v>
      </c>
      <c r="P22" s="25">
        <v>2.6126934982613204</v>
      </c>
    </row>
    <row r="23" spans="1:16" x14ac:dyDescent="0.15">
      <c r="A23" s="139"/>
      <c r="B23" s="139"/>
      <c r="C23" s="139"/>
      <c r="D23" s="139"/>
      <c r="E23" s="139"/>
      <c r="F23" s="139"/>
      <c r="G23" s="139"/>
      <c r="H23" s="139"/>
      <c r="I23" s="139"/>
      <c r="J23" s="139"/>
      <c r="K23" s="139"/>
      <c r="L23" s="139"/>
      <c r="M23" s="139"/>
      <c r="N23" s="139"/>
      <c r="O23" s="25">
        <v>2.1085636251921009</v>
      </c>
      <c r="P23" s="25">
        <v>2.1085636251921009</v>
      </c>
    </row>
    <row r="24" spans="1:16" x14ac:dyDescent="0.15">
      <c r="A24" s="139"/>
      <c r="B24" s="139"/>
      <c r="C24" s="139"/>
      <c r="D24" s="139"/>
      <c r="E24" s="139"/>
      <c r="F24" s="139"/>
      <c r="G24" s="139"/>
      <c r="H24" s="139"/>
      <c r="I24" s="139"/>
      <c r="J24" s="139"/>
      <c r="K24" s="139"/>
      <c r="L24" s="139"/>
      <c r="M24" s="139"/>
      <c r="N24" s="139"/>
      <c r="O24" s="25"/>
      <c r="P24" s="25"/>
    </row>
    <row r="25" spans="1:16" x14ac:dyDescent="0.15">
      <c r="A25" s="139"/>
      <c r="B25" s="139"/>
      <c r="C25" s="139"/>
      <c r="D25" s="139"/>
      <c r="E25" s="139"/>
      <c r="F25" s="139"/>
      <c r="G25" s="139"/>
      <c r="H25" s="139"/>
      <c r="I25" s="139"/>
      <c r="J25" s="139"/>
      <c r="K25" s="139"/>
      <c r="L25" s="139"/>
      <c r="M25" s="139"/>
      <c r="N25" s="139"/>
      <c r="O25" s="25">
        <v>0.93092587598761511</v>
      </c>
      <c r="P25" s="25">
        <v>0.93092587598761867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showGridLines="0" zoomScaleNormal="100" workbookViewId="0">
      <selection activeCell="O47" sqref="O47"/>
    </sheetView>
  </sheetViews>
  <sheetFormatPr defaultRowHeight="12.75" x14ac:dyDescent="0.2"/>
  <cols>
    <col min="1" max="1" width="29.42578125" style="76" customWidth="1"/>
    <col min="2" max="13" width="9.5703125" style="76" customWidth="1"/>
    <col min="14" max="16384" width="9.140625" style="76"/>
  </cols>
  <sheetData>
    <row r="1" spans="1:17" ht="15.75" x14ac:dyDescent="0.25">
      <c r="A1" s="70" t="s">
        <v>152</v>
      </c>
      <c r="B1" s="71"/>
      <c r="C1" s="72"/>
      <c r="D1" s="72"/>
      <c r="E1" s="72"/>
      <c r="F1" s="72"/>
      <c r="G1" s="72"/>
      <c r="H1" s="73"/>
      <c r="I1" s="74"/>
      <c r="J1" s="74"/>
      <c r="K1" s="74"/>
      <c r="L1" s="75"/>
      <c r="M1" s="75"/>
    </row>
    <row r="3" spans="1:17" ht="12.75" customHeight="1" x14ac:dyDescent="0.2">
      <c r="A3" s="77" t="s">
        <v>153</v>
      </c>
      <c r="N3" s="208" t="s">
        <v>154</v>
      </c>
    </row>
    <row r="4" spans="1:17" x14ac:dyDescent="0.2">
      <c r="I4" s="78"/>
      <c r="K4" s="79"/>
      <c r="L4" s="79"/>
      <c r="M4" s="79" t="s">
        <v>155</v>
      </c>
      <c r="N4" s="208"/>
    </row>
    <row r="5" spans="1:17" x14ac:dyDescent="0.2">
      <c r="A5" s="80"/>
      <c r="B5" s="81" t="s">
        <v>156</v>
      </c>
      <c r="C5" s="81" t="s">
        <v>128</v>
      </c>
      <c r="D5" s="81" t="s">
        <v>130</v>
      </c>
      <c r="E5" s="82" t="s">
        <v>151</v>
      </c>
      <c r="F5" s="83">
        <v>2008</v>
      </c>
      <c r="G5" s="83">
        <v>2009</v>
      </c>
      <c r="H5" s="83">
        <v>2010</v>
      </c>
      <c r="I5" s="83">
        <v>2011</v>
      </c>
      <c r="J5" s="83">
        <v>2012</v>
      </c>
      <c r="K5" s="83">
        <v>2013</v>
      </c>
      <c r="L5" s="83">
        <v>2014</v>
      </c>
      <c r="M5" s="83">
        <v>2015</v>
      </c>
      <c r="N5" s="84">
        <v>2015</v>
      </c>
    </row>
    <row r="6" spans="1:17" x14ac:dyDescent="0.2">
      <c r="A6" s="77" t="s">
        <v>157</v>
      </c>
      <c r="B6" s="74"/>
      <c r="C6" s="74"/>
      <c r="D6" s="74"/>
      <c r="E6" s="74"/>
      <c r="F6" s="74"/>
      <c r="G6" s="74"/>
      <c r="H6" s="74"/>
      <c r="I6" s="74"/>
      <c r="J6" s="74"/>
      <c r="K6" s="74"/>
      <c r="L6" s="74"/>
      <c r="M6" s="74"/>
      <c r="N6" s="74"/>
    </row>
    <row r="7" spans="1:17" x14ac:dyDescent="0.2">
      <c r="A7" s="74" t="s">
        <v>158</v>
      </c>
      <c r="B7" s="85">
        <v>32.729058818032762</v>
      </c>
      <c r="C7" s="85">
        <v>34.706547967356485</v>
      </c>
      <c r="D7" s="85">
        <v>31.989293483735587</v>
      </c>
      <c r="E7" s="85">
        <v>28.387616850478189</v>
      </c>
      <c r="F7" s="85">
        <v>30.281840888767004</v>
      </c>
      <c r="G7" s="85">
        <v>31.312885535354461</v>
      </c>
      <c r="H7" s="85">
        <v>31.012100312661474</v>
      </c>
      <c r="I7" s="85">
        <v>29.081052938635178</v>
      </c>
      <c r="J7" s="85">
        <v>30.207282090279168</v>
      </c>
      <c r="K7" s="85">
        <v>27.310016123452098</v>
      </c>
      <c r="L7" s="85">
        <v>28.204476539468164</v>
      </c>
      <c r="M7" s="85">
        <v>25.045884922279011</v>
      </c>
      <c r="N7" s="86">
        <v>2231</v>
      </c>
    </row>
    <row r="8" spans="1:17" x14ac:dyDescent="0.2">
      <c r="A8" s="74" t="s">
        <v>159</v>
      </c>
      <c r="B8" s="85">
        <v>26.829750112850476</v>
      </c>
      <c r="C8" s="85">
        <v>29.316697038879013</v>
      </c>
      <c r="D8" s="85">
        <v>26.812354323487778</v>
      </c>
      <c r="E8" s="85">
        <v>27.575069430559104</v>
      </c>
      <c r="F8" s="85">
        <v>23.446774956329218</v>
      </c>
      <c r="G8" s="85">
        <v>25.372881707288098</v>
      </c>
      <c r="H8" s="85">
        <v>22.885406663400524</v>
      </c>
      <c r="I8" s="85">
        <v>24.163839595517722</v>
      </c>
      <c r="J8" s="85">
        <v>23.739162154200677</v>
      </c>
      <c r="K8" s="85">
        <v>23.052170367226541</v>
      </c>
      <c r="L8" s="85">
        <v>21.792449488649851</v>
      </c>
      <c r="M8" s="85">
        <v>22.367646271413758</v>
      </c>
      <c r="N8" s="86">
        <v>2132</v>
      </c>
    </row>
    <row r="9" spans="1:17" x14ac:dyDescent="0.2">
      <c r="A9" s="74" t="s">
        <v>160</v>
      </c>
      <c r="B9" s="85">
        <v>14.831407245495914</v>
      </c>
      <c r="C9" s="85">
        <v>16.22714835405295</v>
      </c>
      <c r="D9" s="85">
        <v>13.18375361873265</v>
      </c>
      <c r="E9" s="85">
        <v>13.156610604853688</v>
      </c>
      <c r="F9" s="85">
        <v>13.565292283159401</v>
      </c>
      <c r="G9" s="85">
        <v>12.901014017493017</v>
      </c>
      <c r="H9" s="85">
        <v>12.793995027133064</v>
      </c>
      <c r="I9" s="85">
        <v>13.053243723880916</v>
      </c>
      <c r="J9" s="85">
        <v>13.012223644504026</v>
      </c>
      <c r="K9" s="85">
        <v>11.628463002962249</v>
      </c>
      <c r="L9" s="85">
        <v>10.14580773859643</v>
      </c>
      <c r="M9" s="85">
        <v>10.475120836645333</v>
      </c>
      <c r="N9" s="86">
        <v>1960</v>
      </c>
    </row>
    <row r="10" spans="1:17" x14ac:dyDescent="0.2">
      <c r="A10" s="74" t="s">
        <v>161</v>
      </c>
      <c r="B10" s="85">
        <v>27.34263769304939</v>
      </c>
      <c r="C10" s="85">
        <v>29.348379873950737</v>
      </c>
      <c r="D10" s="85">
        <v>26.633873053533769</v>
      </c>
      <c r="E10" s="85">
        <v>25.148466123919263</v>
      </c>
      <c r="F10" s="85">
        <v>24.76425735815107</v>
      </c>
      <c r="G10" s="85">
        <v>25.67241445379171</v>
      </c>
      <c r="H10" s="85">
        <v>24.635732644084431</v>
      </c>
      <c r="I10" s="85">
        <v>24.145744430416446</v>
      </c>
      <c r="J10" s="85">
        <v>24.538805854833814</v>
      </c>
      <c r="K10" s="85">
        <v>22.553004485868478</v>
      </c>
      <c r="L10" s="85">
        <v>22.14602999918263</v>
      </c>
      <c r="M10" s="85">
        <v>20.885949767309544</v>
      </c>
      <c r="N10" s="86">
        <v>6323</v>
      </c>
    </row>
    <row r="11" spans="1:17" ht="16.5" customHeight="1" x14ac:dyDescent="0.2">
      <c r="A11" s="77" t="s">
        <v>162</v>
      </c>
      <c r="B11" s="85"/>
      <c r="C11" s="85"/>
      <c r="D11" s="85"/>
      <c r="E11" s="85"/>
      <c r="F11" s="85"/>
      <c r="G11" s="85"/>
      <c r="H11" s="85"/>
      <c r="I11" s="85"/>
      <c r="J11" s="85"/>
      <c r="K11" s="85"/>
      <c r="L11" s="85"/>
      <c r="M11" s="85"/>
      <c r="N11" s="87"/>
    </row>
    <row r="12" spans="1:17" x14ac:dyDescent="0.2">
      <c r="A12" s="74" t="s">
        <v>158</v>
      </c>
      <c r="B12" s="85">
        <v>32.624197426307745</v>
      </c>
      <c r="C12" s="85">
        <v>32.180115862945065</v>
      </c>
      <c r="D12" s="85">
        <v>30.472931204691267</v>
      </c>
      <c r="E12" s="85">
        <v>27.965665810943705</v>
      </c>
      <c r="F12" s="85">
        <v>28.031242163037643</v>
      </c>
      <c r="G12" s="85">
        <v>27.238492293185477</v>
      </c>
      <c r="H12" s="85">
        <v>26.547969595560833</v>
      </c>
      <c r="I12" s="85">
        <v>26.372063918148026</v>
      </c>
      <c r="J12" s="85">
        <v>25.107936150984571</v>
      </c>
      <c r="K12" s="85">
        <v>24.970621251392625</v>
      </c>
      <c r="L12" s="85">
        <v>22.660480267931735</v>
      </c>
      <c r="M12" s="85">
        <v>22.345684282785019</v>
      </c>
      <c r="N12" s="86">
        <v>2619</v>
      </c>
    </row>
    <row r="13" spans="1:17" x14ac:dyDescent="0.2">
      <c r="A13" s="74" t="s">
        <v>159</v>
      </c>
      <c r="B13" s="85">
        <v>24.566322925364812</v>
      </c>
      <c r="C13" s="85">
        <v>26.502146072261272</v>
      </c>
      <c r="D13" s="85">
        <v>24.884645762750022</v>
      </c>
      <c r="E13" s="85">
        <v>23.930749208679053</v>
      </c>
      <c r="F13" s="85">
        <v>22.881578347962023</v>
      </c>
      <c r="G13" s="85">
        <v>23.115269979934517</v>
      </c>
      <c r="H13" s="85">
        <v>22.273777369552793</v>
      </c>
      <c r="I13" s="85">
        <v>23.168173977341244</v>
      </c>
      <c r="J13" s="85">
        <v>22.452529736848273</v>
      </c>
      <c r="K13" s="85">
        <v>20.594157713334408</v>
      </c>
      <c r="L13" s="85">
        <v>20.247373516551363</v>
      </c>
      <c r="M13" s="85">
        <v>17.953736289389429</v>
      </c>
      <c r="N13" s="86">
        <v>2483</v>
      </c>
      <c r="O13" s="85"/>
      <c r="P13" s="85"/>
      <c r="Q13" s="85"/>
    </row>
    <row r="14" spans="1:17" x14ac:dyDescent="0.2">
      <c r="A14" s="74" t="s">
        <v>160</v>
      </c>
      <c r="B14" s="85">
        <v>13.296655700564273</v>
      </c>
      <c r="C14" s="85">
        <v>13.495348768013475</v>
      </c>
      <c r="D14" s="85">
        <v>11.824801920806507</v>
      </c>
      <c r="E14" s="85">
        <v>11.744319448559843</v>
      </c>
      <c r="F14" s="85">
        <v>10.991885725692596</v>
      </c>
      <c r="G14" s="85">
        <v>11.454490733161744</v>
      </c>
      <c r="H14" s="85">
        <v>11.837132962562167</v>
      </c>
      <c r="I14" s="85">
        <v>9.175717160133452</v>
      </c>
      <c r="J14" s="85">
        <v>10.7426623315912</v>
      </c>
      <c r="K14" s="85">
        <v>10.064431969986114</v>
      </c>
      <c r="L14" s="85">
        <v>10.278414710022052</v>
      </c>
      <c r="M14" s="85">
        <v>10.497508966123744</v>
      </c>
      <c r="N14" s="86">
        <v>2231</v>
      </c>
      <c r="O14" s="85"/>
      <c r="P14" s="85"/>
      <c r="Q14" s="85"/>
    </row>
    <row r="15" spans="1:17" x14ac:dyDescent="0.2">
      <c r="A15" s="74" t="s">
        <v>163</v>
      </c>
      <c r="B15" s="85">
        <v>25.561460537662938</v>
      </c>
      <c r="C15" s="85">
        <v>25.971908086623174</v>
      </c>
      <c r="D15" s="85">
        <v>24.339289659138494</v>
      </c>
      <c r="E15" s="85">
        <v>22.878621930912086</v>
      </c>
      <c r="F15" s="85">
        <v>22.395806670126436</v>
      </c>
      <c r="G15" s="85">
        <v>22.187014126141676</v>
      </c>
      <c r="H15" s="85">
        <v>21.659154386193258</v>
      </c>
      <c r="I15" s="85">
        <v>21.158503801582874</v>
      </c>
      <c r="J15" s="85">
        <v>20.825634770996508</v>
      </c>
      <c r="K15" s="85">
        <v>19.880467764052288</v>
      </c>
      <c r="L15" s="85">
        <v>18.796069398156206</v>
      </c>
      <c r="M15" s="85">
        <v>17.900947663399126</v>
      </c>
      <c r="N15" s="86">
        <v>7333</v>
      </c>
      <c r="O15" s="85"/>
      <c r="P15" s="85"/>
      <c r="Q15" s="85"/>
    </row>
    <row r="16" spans="1:17" ht="16.5" customHeight="1" x14ac:dyDescent="0.2">
      <c r="A16" s="77" t="s">
        <v>164</v>
      </c>
      <c r="B16" s="85"/>
      <c r="C16" s="85"/>
      <c r="D16" s="85"/>
      <c r="E16" s="85"/>
      <c r="F16" s="85"/>
      <c r="G16" s="85"/>
      <c r="H16" s="85"/>
      <c r="I16" s="85"/>
      <c r="J16" s="85"/>
      <c r="K16" s="85"/>
      <c r="L16" s="85"/>
      <c r="M16" s="85"/>
      <c r="N16" s="88"/>
      <c r="O16" s="85"/>
      <c r="P16" s="85"/>
      <c r="Q16" s="85"/>
    </row>
    <row r="17" spans="1:17" x14ac:dyDescent="0.2">
      <c r="A17" s="74" t="s">
        <v>158</v>
      </c>
      <c r="B17" s="85">
        <v>32.67589627967854</v>
      </c>
      <c r="C17" s="85">
        <v>33.42775728524856</v>
      </c>
      <c r="D17" s="85">
        <v>31.221008464378023</v>
      </c>
      <c r="E17" s="85">
        <v>28.174692844295638</v>
      </c>
      <c r="F17" s="85">
        <v>29.151827532247555</v>
      </c>
      <c r="G17" s="85">
        <v>29.268624679452724</v>
      </c>
      <c r="H17" s="85">
        <v>28.770415757987877</v>
      </c>
      <c r="I17" s="85">
        <v>27.727602841282096</v>
      </c>
      <c r="J17" s="85">
        <v>27.661152314568398</v>
      </c>
      <c r="K17" s="85">
        <v>26.143410899822356</v>
      </c>
      <c r="L17" s="85">
        <v>25.438703856835907</v>
      </c>
      <c r="M17" s="85">
        <v>23.705178356156605</v>
      </c>
      <c r="N17" s="86">
        <v>4850</v>
      </c>
      <c r="O17" s="85"/>
      <c r="P17" s="85"/>
      <c r="Q17" s="85"/>
    </row>
    <row r="18" spans="1:17" x14ac:dyDescent="0.2">
      <c r="A18" s="74" t="s">
        <v>159</v>
      </c>
      <c r="B18" s="85">
        <v>25.682011529454847</v>
      </c>
      <c r="C18" s="85">
        <v>27.888222747041613</v>
      </c>
      <c r="D18" s="85">
        <v>25.831799150841682</v>
      </c>
      <c r="E18" s="85">
        <v>25.723390832340659</v>
      </c>
      <c r="F18" s="85">
        <v>23.158274906307657</v>
      </c>
      <c r="G18" s="85">
        <v>24.22250663507474</v>
      </c>
      <c r="H18" s="85">
        <v>22.573184408660115</v>
      </c>
      <c r="I18" s="85">
        <v>23.654663872206111</v>
      </c>
      <c r="J18" s="85">
        <v>23.0858954241126</v>
      </c>
      <c r="K18" s="85">
        <v>21.801312805888887</v>
      </c>
      <c r="L18" s="85">
        <v>21.004473929697227</v>
      </c>
      <c r="M18" s="85">
        <v>20.109726388278393</v>
      </c>
      <c r="N18" s="86">
        <v>4615</v>
      </c>
      <c r="O18" s="85"/>
      <c r="P18" s="85"/>
      <c r="Q18" s="85"/>
    </row>
    <row r="19" spans="1:17" x14ac:dyDescent="0.2">
      <c r="A19" s="74" t="s">
        <v>160</v>
      </c>
      <c r="B19" s="85">
        <v>13.955400865822687</v>
      </c>
      <c r="C19" s="85">
        <v>14.669084669353731</v>
      </c>
      <c r="D19" s="85">
        <v>12.412644600701768</v>
      </c>
      <c r="E19" s="85">
        <v>12.358310075085498</v>
      </c>
      <c r="F19" s="85">
        <v>12.118612326010732</v>
      </c>
      <c r="G19" s="85">
        <v>12.094342366712883</v>
      </c>
      <c r="H19" s="85">
        <v>12.260253530012424</v>
      </c>
      <c r="I19" s="85">
        <v>10.897612549887672</v>
      </c>
      <c r="J19" s="85">
        <v>11.76341669320208</v>
      </c>
      <c r="K19" s="85">
        <v>10.769953291739135</v>
      </c>
      <c r="L19" s="85">
        <v>10.217978470529054</v>
      </c>
      <c r="M19" s="85">
        <v>10.487294885562223</v>
      </c>
      <c r="N19" s="86">
        <v>4191</v>
      </c>
      <c r="O19" s="85"/>
      <c r="P19" s="85"/>
      <c r="Q19" s="85"/>
    </row>
    <row r="20" spans="1:17" x14ac:dyDescent="0.2">
      <c r="A20" s="74" t="s">
        <v>165</v>
      </c>
      <c r="B20" s="85">
        <v>26.415007414900497</v>
      </c>
      <c r="C20" s="85">
        <v>27.59077685579836</v>
      </c>
      <c r="D20" s="85">
        <v>25.439717601428949</v>
      </c>
      <c r="E20" s="85">
        <v>23.970797322983266</v>
      </c>
      <c r="F20" s="85">
        <v>23.537945833521061</v>
      </c>
      <c r="G20" s="85">
        <v>23.872106264614164</v>
      </c>
      <c r="H20" s="85">
        <v>23.096246691620614</v>
      </c>
      <c r="I20" s="85">
        <v>22.603857594977967</v>
      </c>
      <c r="J20" s="85">
        <v>22.632509033231035</v>
      </c>
      <c r="K20" s="85">
        <v>21.18036650909848</v>
      </c>
      <c r="L20" s="85">
        <v>20.427037284386287</v>
      </c>
      <c r="M20" s="85">
        <v>19.355331809744154</v>
      </c>
      <c r="N20" s="86">
        <v>13656</v>
      </c>
      <c r="O20" s="85"/>
      <c r="P20" s="85"/>
      <c r="Q20" s="85"/>
    </row>
    <row r="21" spans="1:17" ht="16.5" customHeight="1" x14ac:dyDescent="0.2">
      <c r="A21" s="89" t="s">
        <v>154</v>
      </c>
      <c r="B21" s="90">
        <v>16298</v>
      </c>
      <c r="C21" s="90">
        <v>16035</v>
      </c>
      <c r="D21" s="90">
        <v>14305</v>
      </c>
      <c r="E21" s="90">
        <v>13917</v>
      </c>
      <c r="F21" s="90">
        <v>13313</v>
      </c>
      <c r="G21" s="90">
        <v>16018</v>
      </c>
      <c r="H21" s="90">
        <v>15999</v>
      </c>
      <c r="I21" s="90">
        <v>16058</v>
      </c>
      <c r="J21" s="90">
        <v>15687</v>
      </c>
      <c r="K21" s="90">
        <v>15007</v>
      </c>
      <c r="L21" s="90">
        <v>14170</v>
      </c>
      <c r="M21" s="90">
        <v>13656</v>
      </c>
      <c r="N21" s="90">
        <v>13656</v>
      </c>
      <c r="O21" s="85"/>
      <c r="P21" s="85"/>
      <c r="Q21" s="85"/>
    </row>
    <row r="22" spans="1:17" ht="5.25" customHeight="1" x14ac:dyDescent="0.2">
      <c r="A22" s="91"/>
      <c r="B22" s="91"/>
      <c r="C22" s="91"/>
      <c r="D22" s="91"/>
      <c r="E22" s="91"/>
      <c r="F22" s="91"/>
      <c r="G22" s="91"/>
      <c r="H22" s="91"/>
      <c r="I22" s="91"/>
      <c r="J22" s="91"/>
      <c r="K22" s="91"/>
      <c r="L22" s="91"/>
      <c r="M22" s="91"/>
      <c r="N22" s="92"/>
      <c r="O22" s="85"/>
      <c r="P22" s="85"/>
      <c r="Q22" s="85"/>
    </row>
    <row r="23" spans="1:17" x14ac:dyDescent="0.2">
      <c r="I23" s="74"/>
      <c r="J23" s="74"/>
      <c r="K23" s="74"/>
      <c r="L23" s="74"/>
      <c r="M23" s="74"/>
      <c r="N23" s="93"/>
      <c r="O23" s="85"/>
      <c r="P23" s="85"/>
      <c r="Q23" s="85"/>
    </row>
    <row r="24" spans="1:17" ht="12.75" customHeight="1" x14ac:dyDescent="0.2">
      <c r="A24" s="94" t="s">
        <v>166</v>
      </c>
      <c r="N24" s="208" t="s">
        <v>154</v>
      </c>
      <c r="O24" s="85"/>
      <c r="P24" s="85"/>
      <c r="Q24" s="85"/>
    </row>
    <row r="25" spans="1:17" x14ac:dyDescent="0.2">
      <c r="A25" s="94"/>
      <c r="I25" s="78"/>
      <c r="K25" s="79"/>
      <c r="L25" s="79"/>
      <c r="M25" s="79" t="s">
        <v>155</v>
      </c>
      <c r="N25" s="209"/>
      <c r="O25" s="85"/>
      <c r="P25" s="85"/>
      <c r="Q25" s="85"/>
    </row>
    <row r="26" spans="1:17" x14ac:dyDescent="0.2">
      <c r="A26" s="80"/>
      <c r="B26" s="81" t="s">
        <v>156</v>
      </c>
      <c r="C26" s="81" t="s">
        <v>128</v>
      </c>
      <c r="D26" s="81" t="s">
        <v>130</v>
      </c>
      <c r="E26" s="82" t="s">
        <v>151</v>
      </c>
      <c r="F26" s="83">
        <v>2008</v>
      </c>
      <c r="G26" s="83">
        <v>2009</v>
      </c>
      <c r="H26" s="83">
        <v>2010</v>
      </c>
      <c r="I26" s="83">
        <v>2011</v>
      </c>
      <c r="J26" s="83">
        <v>2012</v>
      </c>
      <c r="K26" s="83">
        <v>2013</v>
      </c>
      <c r="L26" s="83">
        <v>2014</v>
      </c>
      <c r="M26" s="83">
        <v>2015</v>
      </c>
      <c r="N26" s="95">
        <v>2015</v>
      </c>
      <c r="O26" s="85"/>
      <c r="P26" s="85"/>
      <c r="Q26" s="85"/>
    </row>
    <row r="27" spans="1:17" ht="15" customHeight="1" x14ac:dyDescent="0.2">
      <c r="A27" s="96" t="s">
        <v>167</v>
      </c>
      <c r="B27" s="85">
        <v>18.131789999999999</v>
      </c>
      <c r="C27" s="85">
        <v>18.68656</v>
      </c>
      <c r="D27" s="85">
        <v>16.83942</v>
      </c>
      <c r="E27" s="85">
        <v>16.640540000000001</v>
      </c>
      <c r="F27" s="85">
        <v>14.455680000000001</v>
      </c>
      <c r="G27" s="85">
        <v>15.477320000000001</v>
      </c>
      <c r="H27" s="85">
        <v>13.702539999999999</v>
      </c>
      <c r="I27" s="85">
        <v>13.57986</v>
      </c>
      <c r="J27" s="85">
        <v>13.794549999999999</v>
      </c>
      <c r="K27" s="85">
        <v>13.44544</v>
      </c>
      <c r="L27" s="85">
        <v>13.161390000000001</v>
      </c>
      <c r="M27" s="85">
        <v>11.28623</v>
      </c>
      <c r="N27" s="86">
        <v>5045</v>
      </c>
      <c r="O27" s="85"/>
      <c r="P27" s="85"/>
      <c r="Q27" s="85"/>
    </row>
    <row r="28" spans="1:17" ht="15" customHeight="1" x14ac:dyDescent="0.2">
      <c r="A28" s="96" t="s">
        <v>168</v>
      </c>
      <c r="B28" s="85">
        <v>23.45636</v>
      </c>
      <c r="C28" s="85">
        <v>25.009550000000004</v>
      </c>
      <c r="D28" s="85">
        <v>22.756019999999999</v>
      </c>
      <c r="E28" s="85">
        <v>20.676729999999999</v>
      </c>
      <c r="F28" s="85">
        <v>21.82535</v>
      </c>
      <c r="G28" s="85">
        <v>21.75282</v>
      </c>
      <c r="H28" s="85">
        <v>21.065710000000003</v>
      </c>
      <c r="I28" s="85">
        <v>22.027899999999999</v>
      </c>
      <c r="J28" s="85">
        <v>21.437049999999999</v>
      </c>
      <c r="K28" s="85">
        <v>17.951049999999999</v>
      </c>
      <c r="L28" s="85">
        <v>19.614629999999998</v>
      </c>
      <c r="M28" s="85">
        <v>17.44257</v>
      </c>
      <c r="N28" s="86">
        <v>2578</v>
      </c>
      <c r="O28" s="85"/>
      <c r="P28" s="85"/>
      <c r="Q28" s="85"/>
    </row>
    <row r="29" spans="1:17" ht="15" customHeight="1" x14ac:dyDescent="0.2">
      <c r="A29" s="96" t="s">
        <v>169</v>
      </c>
      <c r="B29" s="85">
        <v>32.663899999999998</v>
      </c>
      <c r="C29" s="85">
        <v>34.796010000000003</v>
      </c>
      <c r="D29" s="85">
        <v>31.984649999999998</v>
      </c>
      <c r="E29" s="85">
        <v>31.31062</v>
      </c>
      <c r="F29" s="85">
        <v>30.829000000000001</v>
      </c>
      <c r="G29" s="85">
        <v>30.741679999999999</v>
      </c>
      <c r="H29" s="85">
        <v>30.3902</v>
      </c>
      <c r="I29" s="85">
        <v>29.586359999999999</v>
      </c>
      <c r="J29" s="85">
        <v>30.090270000000004</v>
      </c>
      <c r="K29" s="85">
        <v>28.598739999999999</v>
      </c>
      <c r="L29" s="85">
        <v>26.281610000000001</v>
      </c>
      <c r="M29" s="85">
        <v>25.802989999999998</v>
      </c>
      <c r="N29" s="86">
        <v>5350</v>
      </c>
    </row>
    <row r="30" spans="1:17" ht="27.75" customHeight="1" x14ac:dyDescent="0.2">
      <c r="A30" s="96" t="s">
        <v>170</v>
      </c>
      <c r="B30" s="85">
        <v>40.87236</v>
      </c>
      <c r="C30" s="85">
        <v>43.237229999999997</v>
      </c>
      <c r="D30" s="85">
        <v>47.490270000000002</v>
      </c>
      <c r="E30" s="85">
        <v>41.145029999999998</v>
      </c>
      <c r="F30" s="85">
        <v>40.222639999999998</v>
      </c>
      <c r="G30" s="85">
        <v>43.973489999999998</v>
      </c>
      <c r="H30" s="85">
        <v>43.650219999999997</v>
      </c>
      <c r="I30" s="85">
        <v>45.045380000000002</v>
      </c>
      <c r="J30" s="85">
        <v>41.11365</v>
      </c>
      <c r="K30" s="85">
        <v>39.78378</v>
      </c>
      <c r="L30" s="85">
        <v>36.198700000000002</v>
      </c>
      <c r="M30" s="85">
        <v>42.506740000000001</v>
      </c>
      <c r="N30" s="86">
        <v>340</v>
      </c>
    </row>
    <row r="31" spans="1:17" ht="5.25" customHeight="1" x14ac:dyDescent="0.2">
      <c r="A31" s="91"/>
      <c r="B31" s="91"/>
      <c r="C31" s="91"/>
      <c r="D31" s="91"/>
      <c r="E31" s="91"/>
      <c r="F31" s="91"/>
      <c r="G31" s="91"/>
      <c r="H31" s="91"/>
      <c r="I31" s="91"/>
      <c r="J31" s="91"/>
      <c r="K31" s="91"/>
      <c r="L31" s="91"/>
      <c r="M31" s="91"/>
      <c r="N31" s="91"/>
    </row>
    <row r="32" spans="1:17" x14ac:dyDescent="0.2">
      <c r="I32" s="74"/>
      <c r="J32" s="74"/>
      <c r="K32" s="74"/>
      <c r="L32" s="74"/>
      <c r="M32" s="74"/>
    </row>
    <row r="33" spans="1:14" ht="12.75" customHeight="1" x14ac:dyDescent="0.2">
      <c r="A33" s="94" t="s">
        <v>171</v>
      </c>
      <c r="N33" s="208" t="s">
        <v>154</v>
      </c>
    </row>
    <row r="34" spans="1:14" x14ac:dyDescent="0.2">
      <c r="A34" s="94"/>
      <c r="I34" s="78"/>
      <c r="K34" s="79"/>
      <c r="L34" s="79"/>
      <c r="M34" s="79" t="s">
        <v>155</v>
      </c>
      <c r="N34" s="209"/>
    </row>
    <row r="35" spans="1:14" x14ac:dyDescent="0.2">
      <c r="A35" s="80"/>
      <c r="B35" s="81" t="s">
        <v>156</v>
      </c>
      <c r="C35" s="81" t="s">
        <v>128</v>
      </c>
      <c r="D35" s="81" t="s">
        <v>130</v>
      </c>
      <c r="E35" s="82" t="s">
        <v>151</v>
      </c>
      <c r="F35" s="83">
        <v>2008</v>
      </c>
      <c r="G35" s="83">
        <v>2009</v>
      </c>
      <c r="H35" s="83">
        <v>2010</v>
      </c>
      <c r="I35" s="83">
        <v>2011</v>
      </c>
      <c r="J35" s="83">
        <v>2012</v>
      </c>
      <c r="K35" s="83">
        <v>2013</v>
      </c>
      <c r="L35" s="83">
        <v>2014</v>
      </c>
      <c r="M35" s="83">
        <v>2015</v>
      </c>
      <c r="N35" s="84">
        <v>2015</v>
      </c>
    </row>
    <row r="36" spans="1:14" x14ac:dyDescent="0.2">
      <c r="A36" s="97" t="s">
        <v>172</v>
      </c>
      <c r="B36" s="85">
        <v>15.591579999999999</v>
      </c>
      <c r="C36" s="85">
        <v>19.163650000000001</v>
      </c>
      <c r="D36" s="85">
        <v>16.419439999999998</v>
      </c>
      <c r="E36" s="85">
        <v>16.11496</v>
      </c>
      <c r="F36" s="85">
        <v>14.105319999999999</v>
      </c>
      <c r="G36" s="85">
        <v>15.069740000000001</v>
      </c>
      <c r="H36" s="85">
        <v>14.87087</v>
      </c>
      <c r="I36" s="85">
        <v>13.38613</v>
      </c>
      <c r="J36" s="85">
        <v>14.334620000000001</v>
      </c>
      <c r="K36" s="85">
        <v>12.66771</v>
      </c>
      <c r="L36" s="85">
        <v>12.520059999999999</v>
      </c>
      <c r="M36" s="85">
        <v>11.390140000000001</v>
      </c>
      <c r="N36" s="86">
        <v>2792</v>
      </c>
    </row>
    <row r="37" spans="1:14" x14ac:dyDescent="0.2">
      <c r="A37" s="97">
        <v>2</v>
      </c>
      <c r="B37" s="85">
        <v>22.119410000000002</v>
      </c>
      <c r="C37" s="85">
        <v>23.026689999999999</v>
      </c>
      <c r="D37" s="85">
        <v>20.273859999999999</v>
      </c>
      <c r="E37" s="85">
        <v>20.123070000000002</v>
      </c>
      <c r="F37" s="85">
        <v>19.6693</v>
      </c>
      <c r="G37" s="85">
        <v>20.177009999999999</v>
      </c>
      <c r="H37" s="85">
        <v>18.642120000000002</v>
      </c>
      <c r="I37" s="85">
        <v>17.828720000000001</v>
      </c>
      <c r="J37" s="85">
        <v>18.309190000000001</v>
      </c>
      <c r="K37" s="85">
        <v>17.771070000000002</v>
      </c>
      <c r="L37" s="85">
        <v>17.522380000000002</v>
      </c>
      <c r="M37" s="85">
        <v>15.507160000000001</v>
      </c>
      <c r="N37" s="86">
        <v>2927</v>
      </c>
    </row>
    <row r="38" spans="1:14" x14ac:dyDescent="0.2">
      <c r="A38" s="97">
        <v>3</v>
      </c>
      <c r="B38" s="85">
        <v>26.318160000000002</v>
      </c>
      <c r="C38" s="85">
        <v>27.086939999999998</v>
      </c>
      <c r="D38" s="85">
        <v>25.514870000000002</v>
      </c>
      <c r="E38" s="85">
        <v>22.73723</v>
      </c>
      <c r="F38" s="85">
        <v>22.091849999999997</v>
      </c>
      <c r="G38" s="85">
        <v>23.229379999999999</v>
      </c>
      <c r="H38" s="85">
        <v>21.645120000000002</v>
      </c>
      <c r="I38" s="85">
        <v>22.453150000000001</v>
      </c>
      <c r="J38" s="85">
        <v>22.527440000000002</v>
      </c>
      <c r="K38" s="85">
        <v>19.59834</v>
      </c>
      <c r="L38" s="85">
        <v>18.567119999999999</v>
      </c>
      <c r="M38" s="85">
        <v>20.010590000000001</v>
      </c>
      <c r="N38" s="86">
        <v>3008</v>
      </c>
    </row>
    <row r="39" spans="1:14" x14ac:dyDescent="0.2">
      <c r="A39" s="97">
        <v>4</v>
      </c>
      <c r="B39" s="85">
        <v>31.648490000000002</v>
      </c>
      <c r="C39" s="85">
        <v>30.168070000000004</v>
      </c>
      <c r="D39" s="85">
        <v>29.077809999999999</v>
      </c>
      <c r="E39" s="85">
        <v>27.9283</v>
      </c>
      <c r="F39" s="85">
        <v>26.341389999999997</v>
      </c>
      <c r="G39" s="85">
        <v>27.875</v>
      </c>
      <c r="H39" s="85">
        <v>25.850800000000003</v>
      </c>
      <c r="I39" s="85">
        <v>26.389590000000002</v>
      </c>
      <c r="J39" s="85">
        <v>26.209199999999999</v>
      </c>
      <c r="K39" s="85">
        <v>25.250160000000001</v>
      </c>
      <c r="L39" s="85">
        <v>24.990680000000001</v>
      </c>
      <c r="M39" s="85">
        <v>22.803180000000001</v>
      </c>
      <c r="N39" s="86">
        <v>2539</v>
      </c>
    </row>
    <row r="40" spans="1:14" x14ac:dyDescent="0.2">
      <c r="A40" s="97" t="s">
        <v>173</v>
      </c>
      <c r="B40" s="85">
        <v>37.770040000000002</v>
      </c>
      <c r="C40" s="85">
        <v>38.785429999999998</v>
      </c>
      <c r="D40" s="85">
        <v>34.918369999999996</v>
      </c>
      <c r="E40" s="85">
        <v>34.660339999999998</v>
      </c>
      <c r="F40" s="85">
        <v>35.949399999999997</v>
      </c>
      <c r="G40" s="85">
        <v>33.375349999999997</v>
      </c>
      <c r="H40" s="85">
        <v>34.914009999999998</v>
      </c>
      <c r="I40" s="85">
        <v>34.049610000000001</v>
      </c>
      <c r="J40" s="85">
        <v>32.162750000000003</v>
      </c>
      <c r="K40" s="85">
        <v>32.214510000000004</v>
      </c>
      <c r="L40" s="85">
        <v>29.162379999999999</v>
      </c>
      <c r="M40" s="85">
        <v>29.269570000000002</v>
      </c>
      <c r="N40" s="86">
        <v>2390</v>
      </c>
    </row>
    <row r="41" spans="1:14" ht="5.25" customHeight="1" x14ac:dyDescent="0.2">
      <c r="A41" s="91"/>
      <c r="B41" s="91"/>
      <c r="C41" s="91"/>
      <c r="D41" s="91"/>
      <c r="E41" s="91"/>
      <c r="F41" s="91"/>
      <c r="G41" s="91"/>
      <c r="H41" s="91"/>
      <c r="I41" s="91"/>
      <c r="J41" s="91"/>
      <c r="K41" s="91"/>
      <c r="L41" s="91"/>
      <c r="M41" s="91"/>
      <c r="N41" s="91"/>
    </row>
    <row r="42" spans="1:14" x14ac:dyDescent="0.2">
      <c r="I42" s="74"/>
      <c r="J42" s="74"/>
      <c r="K42" s="74"/>
      <c r="L42" s="74"/>
      <c r="M42" s="74"/>
    </row>
    <row r="43" spans="1:14" ht="13.5" customHeight="1" x14ac:dyDescent="0.2">
      <c r="A43" s="94" t="s">
        <v>174</v>
      </c>
      <c r="I43" s="74"/>
      <c r="J43" s="74"/>
      <c r="K43" s="74"/>
      <c r="L43" s="74"/>
      <c r="M43" s="74"/>
      <c r="N43" s="208" t="s">
        <v>154</v>
      </c>
    </row>
    <row r="44" spans="1:14" ht="13.5" customHeight="1" x14ac:dyDescent="0.2">
      <c r="A44" s="94"/>
      <c r="I44" s="74"/>
      <c r="J44" s="74"/>
      <c r="K44" s="79"/>
      <c r="L44" s="79"/>
      <c r="M44" s="79" t="s">
        <v>155</v>
      </c>
      <c r="N44" s="209"/>
    </row>
    <row r="45" spans="1:14" x14ac:dyDescent="0.2">
      <c r="A45" s="80"/>
      <c r="B45" s="81" t="s">
        <v>156</v>
      </c>
      <c r="C45" s="81" t="s">
        <v>128</v>
      </c>
      <c r="D45" s="81" t="s">
        <v>130</v>
      </c>
      <c r="E45" s="82" t="s">
        <v>151</v>
      </c>
      <c r="F45" s="83">
        <v>2008</v>
      </c>
      <c r="G45" s="83">
        <v>2009</v>
      </c>
      <c r="H45" s="83">
        <v>2010</v>
      </c>
      <c r="I45" s="83">
        <v>2011</v>
      </c>
      <c r="J45" s="83">
        <v>2012</v>
      </c>
      <c r="K45" s="83">
        <v>2013</v>
      </c>
      <c r="L45" s="83">
        <v>2014</v>
      </c>
      <c r="M45" s="83">
        <v>2015</v>
      </c>
      <c r="N45" s="84">
        <v>2015</v>
      </c>
    </row>
    <row r="46" spans="1:14" x14ac:dyDescent="0.2">
      <c r="A46" s="91" t="s">
        <v>175</v>
      </c>
      <c r="B46" s="98">
        <v>26.133430000000001</v>
      </c>
      <c r="C46" s="98">
        <v>27.354600000000001</v>
      </c>
      <c r="D46" s="98">
        <v>25.186370000000004</v>
      </c>
      <c r="E46" s="98">
        <v>23.890280000000001</v>
      </c>
      <c r="F46" s="98">
        <v>23.420729999999999</v>
      </c>
      <c r="G46" s="98">
        <v>23.780349999999999</v>
      </c>
      <c r="H46" s="98">
        <v>23.063379999999999</v>
      </c>
      <c r="I46" s="98">
        <v>22.603119999999997</v>
      </c>
      <c r="J46" s="98">
        <v>22.598990000000001</v>
      </c>
      <c r="K46" s="98">
        <v>21.211070000000003</v>
      </c>
      <c r="L46" s="98">
        <v>20.508699999999997</v>
      </c>
      <c r="M46" s="98">
        <v>19.46443</v>
      </c>
      <c r="N46" s="99">
        <v>13656</v>
      </c>
    </row>
    <row r="47" spans="1:14" x14ac:dyDescent="0.2">
      <c r="I47" s="74"/>
      <c r="J47" s="74"/>
      <c r="K47" s="74"/>
    </row>
    <row r="48" spans="1:14" x14ac:dyDescent="0.2">
      <c r="A48" s="76" t="s">
        <v>176</v>
      </c>
      <c r="J48" s="74"/>
      <c r="K48" s="74"/>
    </row>
    <row r="49" spans="1:1" x14ac:dyDescent="0.2">
      <c r="A49" s="76" t="s">
        <v>177</v>
      </c>
    </row>
    <row r="50" spans="1:1" x14ac:dyDescent="0.2">
      <c r="A50" s="76" t="s">
        <v>178</v>
      </c>
    </row>
    <row r="51" spans="1:1" x14ac:dyDescent="0.2">
      <c r="A51" s="76" t="s">
        <v>179</v>
      </c>
    </row>
    <row r="61" spans="1:1" x14ac:dyDescent="0.2">
      <c r="A61" s="74"/>
    </row>
    <row r="62" spans="1:1" x14ac:dyDescent="0.2">
      <c r="A62" s="74"/>
    </row>
    <row r="63" spans="1:1" x14ac:dyDescent="0.2">
      <c r="A63" s="74"/>
    </row>
    <row r="64" spans="1:1" x14ac:dyDescent="0.2">
      <c r="A64" s="74"/>
    </row>
    <row r="65" spans="1:1" x14ac:dyDescent="0.2">
      <c r="A65" s="74"/>
    </row>
    <row r="66" spans="1:1" x14ac:dyDescent="0.2">
      <c r="A66" s="74"/>
    </row>
    <row r="67" spans="1:1" x14ac:dyDescent="0.2">
      <c r="A67" s="74"/>
    </row>
    <row r="68" spans="1:1" x14ac:dyDescent="0.2">
      <c r="A68" s="74"/>
    </row>
    <row r="69" spans="1:1" x14ac:dyDescent="0.2">
      <c r="A69" s="74"/>
    </row>
    <row r="70" spans="1:1" x14ac:dyDescent="0.2">
      <c r="A70" s="74"/>
    </row>
    <row r="71" spans="1:1" x14ac:dyDescent="0.2">
      <c r="A71" s="74"/>
    </row>
    <row r="72" spans="1:1" x14ac:dyDescent="0.2">
      <c r="A72" s="74"/>
    </row>
    <row r="73" spans="1:1" x14ac:dyDescent="0.2">
      <c r="A73" s="74"/>
    </row>
    <row r="74" spans="1:1" x14ac:dyDescent="0.2">
      <c r="A74" s="74"/>
    </row>
    <row r="75" spans="1:1" x14ac:dyDescent="0.2">
      <c r="A75" s="74"/>
    </row>
    <row r="76" spans="1:1" x14ac:dyDescent="0.2">
      <c r="A76" s="74"/>
    </row>
    <row r="77" spans="1:1" x14ac:dyDescent="0.2">
      <c r="A77" s="74"/>
    </row>
    <row r="78" spans="1:1" x14ac:dyDescent="0.2">
      <c r="A78" s="74"/>
    </row>
  </sheetData>
  <mergeCells count="4">
    <mergeCell ref="N3:N4"/>
    <mergeCell ref="N24:N25"/>
    <mergeCell ref="N33:N34"/>
    <mergeCell ref="N43:N44"/>
  </mergeCells>
  <pageMargins left="0.75" right="0.75" top="1" bottom="1" header="0.5" footer="0.5"/>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showGridLines="0" workbookViewId="0">
      <selection activeCell="C37" sqref="C37"/>
    </sheetView>
  </sheetViews>
  <sheetFormatPr defaultRowHeight="12" x14ac:dyDescent="0.2"/>
  <cols>
    <col min="1" max="1" width="2.7109375" style="101" customWidth="1"/>
    <col min="2" max="2" width="27.28515625" style="101" customWidth="1"/>
    <col min="3" max="3" width="11.42578125" style="101" customWidth="1"/>
    <col min="4" max="4" width="16.42578125" style="101" customWidth="1"/>
    <col min="5" max="5" width="15.85546875" style="101" customWidth="1"/>
    <col min="6" max="6" width="14.28515625" style="101" customWidth="1"/>
    <col min="7" max="7" width="8.5703125" style="101" customWidth="1"/>
    <col min="8" max="8" width="8.28515625" style="101" customWidth="1"/>
    <col min="9" max="9" width="8.42578125" style="101" customWidth="1"/>
    <col min="10" max="10" width="8.140625" style="101" customWidth="1"/>
    <col min="11" max="14" width="8.42578125" style="101" customWidth="1"/>
    <col min="15" max="16384" width="9.140625" style="101"/>
  </cols>
  <sheetData>
    <row r="1" spans="1:14" ht="15.75" x14ac:dyDescent="0.25">
      <c r="A1" s="100" t="s">
        <v>180</v>
      </c>
    </row>
    <row r="3" spans="1:14" x14ac:dyDescent="0.2">
      <c r="M3" s="102"/>
      <c r="N3" s="102" t="s">
        <v>155</v>
      </c>
    </row>
    <row r="4" spans="1:14" x14ac:dyDescent="0.2">
      <c r="A4" s="103"/>
      <c r="B4" s="103"/>
      <c r="C4" s="103"/>
      <c r="D4" s="210" t="s">
        <v>181</v>
      </c>
      <c r="E4" s="210"/>
      <c r="F4" s="210"/>
      <c r="G4" s="210"/>
      <c r="H4" s="210"/>
      <c r="I4" s="210"/>
      <c r="J4" s="210"/>
      <c r="K4" s="210"/>
      <c r="L4" s="210"/>
      <c r="M4" s="103"/>
      <c r="N4" s="103"/>
    </row>
    <row r="5" spans="1:14" ht="14.25" x14ac:dyDescent="0.35">
      <c r="A5" s="104"/>
      <c r="B5" s="104"/>
      <c r="C5" s="104"/>
      <c r="D5" s="105" t="s">
        <v>129</v>
      </c>
      <c r="E5" s="105" t="s">
        <v>131</v>
      </c>
      <c r="F5" s="105" t="s">
        <v>142</v>
      </c>
      <c r="G5" s="105" t="s">
        <v>143</v>
      </c>
      <c r="H5" s="105" t="s">
        <v>144</v>
      </c>
      <c r="I5" s="105" t="s">
        <v>145</v>
      </c>
      <c r="J5" s="105" t="s">
        <v>146</v>
      </c>
      <c r="K5" s="105" t="s">
        <v>147</v>
      </c>
      <c r="L5" s="105" t="s">
        <v>148</v>
      </c>
      <c r="M5" s="106" t="s">
        <v>149</v>
      </c>
      <c r="N5" s="106" t="s">
        <v>150</v>
      </c>
    </row>
    <row r="6" spans="1:14" x14ac:dyDescent="0.2">
      <c r="A6" s="107" t="s">
        <v>182</v>
      </c>
      <c r="C6" s="108" t="s">
        <v>183</v>
      </c>
    </row>
    <row r="7" spans="1:14" x14ac:dyDescent="0.2">
      <c r="A7" s="109" t="s">
        <v>184</v>
      </c>
      <c r="C7" s="101" t="s">
        <v>185</v>
      </c>
      <c r="D7" s="110">
        <v>27.341559999999998</v>
      </c>
      <c r="E7" s="110">
        <v>22.62669</v>
      </c>
      <c r="F7" s="110">
        <v>23.141400000000001</v>
      </c>
      <c r="G7" s="110">
        <v>22.130369999999999</v>
      </c>
      <c r="H7" s="110">
        <v>21.547069999999998</v>
      </c>
      <c r="I7" s="110">
        <v>23.252179999999999</v>
      </c>
      <c r="J7" s="110">
        <v>24.159870000000002</v>
      </c>
      <c r="K7" s="110">
        <v>23.801749999999998</v>
      </c>
      <c r="L7" s="110">
        <v>21.580079999999999</v>
      </c>
      <c r="M7" s="110">
        <v>21.54608</v>
      </c>
      <c r="N7" s="110">
        <v>24.207349999999998</v>
      </c>
    </row>
    <row r="8" spans="1:14" x14ac:dyDescent="0.2">
      <c r="A8" s="109" t="s">
        <v>186</v>
      </c>
      <c r="C8" s="101" t="s">
        <v>187</v>
      </c>
      <c r="D8" s="110">
        <v>30.258040000000001</v>
      </c>
      <c r="E8" s="110">
        <v>28.133249999999997</v>
      </c>
      <c r="F8" s="110">
        <v>23.97814</v>
      </c>
      <c r="G8" s="110">
        <v>21.9968</v>
      </c>
      <c r="H8" s="110">
        <v>24.176380000000002</v>
      </c>
      <c r="I8" s="110">
        <v>23.317399999999999</v>
      </c>
      <c r="J8" s="110">
        <v>20.46414</v>
      </c>
      <c r="K8" s="110">
        <v>21.413170000000001</v>
      </c>
      <c r="L8" s="110">
        <v>22.381620000000002</v>
      </c>
      <c r="M8" s="110">
        <v>20.968310000000002</v>
      </c>
      <c r="N8" s="110">
        <v>19.934569999999997</v>
      </c>
    </row>
    <row r="9" spans="1:14" x14ac:dyDescent="0.2">
      <c r="A9" s="109" t="s">
        <v>188</v>
      </c>
      <c r="C9" s="101" t="s">
        <v>189</v>
      </c>
      <c r="D9" s="110">
        <v>25.992159999999998</v>
      </c>
      <c r="E9" s="110">
        <v>26.485189999999996</v>
      </c>
      <c r="F9" s="110">
        <v>23.58231</v>
      </c>
      <c r="G9" s="110">
        <v>21.871739999999999</v>
      </c>
      <c r="H9" s="110">
        <v>21.12445</v>
      </c>
      <c r="I9" s="110">
        <v>20.88316</v>
      </c>
      <c r="J9" s="110">
        <v>21.236989999999999</v>
      </c>
      <c r="K9" s="110">
        <v>24.022389999999998</v>
      </c>
      <c r="L9" s="110">
        <v>21.423380000000002</v>
      </c>
      <c r="M9" s="110">
        <v>19.640319999999999</v>
      </c>
      <c r="N9" s="110">
        <v>20.87781</v>
      </c>
    </row>
    <row r="10" spans="1:14" x14ac:dyDescent="0.2">
      <c r="A10" s="109" t="s">
        <v>190</v>
      </c>
      <c r="C10" s="101" t="s">
        <v>191</v>
      </c>
      <c r="D10" s="110">
        <v>25.880189999999999</v>
      </c>
      <c r="E10" s="110">
        <v>26.240029999999997</v>
      </c>
      <c r="F10" s="110">
        <v>28.271839999999997</v>
      </c>
      <c r="G10" s="110">
        <v>28.18582</v>
      </c>
      <c r="H10" s="110">
        <v>24.989539999999998</v>
      </c>
      <c r="I10" s="110">
        <v>22.48685</v>
      </c>
      <c r="J10" s="110">
        <v>22.239320000000003</v>
      </c>
      <c r="K10" s="110">
        <v>21.476279999999999</v>
      </c>
      <c r="L10" s="110">
        <v>20.177420000000001</v>
      </c>
      <c r="M10" s="110">
        <v>22.312609999999999</v>
      </c>
      <c r="N10" s="110">
        <v>23.097069999999999</v>
      </c>
    </row>
    <row r="11" spans="1:14" x14ac:dyDescent="0.2">
      <c r="A11" s="109" t="s">
        <v>192</v>
      </c>
      <c r="C11" s="101" t="s">
        <v>193</v>
      </c>
      <c r="D11" s="110">
        <v>26.182270000000003</v>
      </c>
      <c r="E11" s="110">
        <v>25.434750000000001</v>
      </c>
      <c r="F11" s="110">
        <v>25.01914</v>
      </c>
      <c r="G11" s="110">
        <v>24.197030000000002</v>
      </c>
      <c r="H11" s="110">
        <v>22.459759999999999</v>
      </c>
      <c r="I11" s="110">
        <v>21.457350000000002</v>
      </c>
      <c r="J11" s="110">
        <v>21.304119999999998</v>
      </c>
      <c r="K11" s="110">
        <v>21.61411</v>
      </c>
      <c r="L11" s="110">
        <v>19.474299999999999</v>
      </c>
      <c r="M11" s="110">
        <v>19.32527</v>
      </c>
      <c r="N11" s="110">
        <v>19.795909999999999</v>
      </c>
    </row>
    <row r="12" spans="1:14" x14ac:dyDescent="0.2">
      <c r="A12" s="109" t="s">
        <v>194</v>
      </c>
      <c r="C12" s="101" t="s">
        <v>195</v>
      </c>
      <c r="D12" s="110">
        <v>25.629149999999999</v>
      </c>
      <c r="E12" s="110">
        <v>27.853309999999997</v>
      </c>
      <c r="F12" s="110">
        <v>25.908999999999999</v>
      </c>
      <c r="G12" s="110">
        <v>23.24165</v>
      </c>
      <c r="H12" s="110">
        <v>26.08623</v>
      </c>
      <c r="I12" s="110">
        <v>26.654170000000001</v>
      </c>
      <c r="J12" s="110">
        <v>25.3977</v>
      </c>
      <c r="K12" s="110">
        <v>23.82499</v>
      </c>
      <c r="L12" s="110">
        <v>21.599509999999999</v>
      </c>
      <c r="M12" s="110">
        <v>19.40936</v>
      </c>
      <c r="N12" s="110">
        <v>21.888750000000002</v>
      </c>
    </row>
    <row r="13" spans="1:14" x14ac:dyDescent="0.2">
      <c r="A13" s="109" t="s">
        <v>196</v>
      </c>
      <c r="C13" s="101" t="s">
        <v>197</v>
      </c>
      <c r="D13" s="110">
        <v>23.382549999999998</v>
      </c>
      <c r="E13" s="110">
        <v>24.300329999999999</v>
      </c>
      <c r="F13" s="110">
        <v>20.875699999999998</v>
      </c>
      <c r="G13" s="110">
        <v>17.467740000000003</v>
      </c>
      <c r="H13" s="110">
        <v>20.387340000000002</v>
      </c>
      <c r="I13" s="110">
        <v>21.287379999999999</v>
      </c>
      <c r="J13" s="110">
        <v>19.88203</v>
      </c>
      <c r="K13" s="110">
        <v>20.15286</v>
      </c>
      <c r="L13" s="110">
        <v>17.158560000000001</v>
      </c>
      <c r="M13" s="110">
        <v>17.403359999999999</v>
      </c>
      <c r="N13" s="110">
        <v>18.688120000000001</v>
      </c>
    </row>
    <row r="14" spans="1:14" x14ac:dyDescent="0.2">
      <c r="A14" s="109" t="s">
        <v>198</v>
      </c>
      <c r="C14" s="101" t="s">
        <v>199</v>
      </c>
      <c r="D14" s="110">
        <v>24.53077</v>
      </c>
      <c r="E14" s="110">
        <v>23.39067</v>
      </c>
      <c r="F14" s="110">
        <v>23.01491</v>
      </c>
      <c r="G14" s="110">
        <v>21.595790000000001</v>
      </c>
      <c r="H14" s="110">
        <v>21.15071</v>
      </c>
      <c r="I14" s="110">
        <v>22.543140000000001</v>
      </c>
      <c r="J14" s="110">
        <v>21.837110000000003</v>
      </c>
      <c r="K14" s="110">
        <v>20.012810000000002</v>
      </c>
      <c r="L14" s="110">
        <v>19.672190000000001</v>
      </c>
      <c r="M14" s="110">
        <v>18.300240000000002</v>
      </c>
      <c r="N14" s="110">
        <v>15.24766</v>
      </c>
    </row>
    <row r="15" spans="1:14" x14ac:dyDescent="0.2">
      <c r="A15" s="109" t="s">
        <v>200</v>
      </c>
      <c r="C15" s="101" t="s">
        <v>201</v>
      </c>
      <c r="D15" s="110">
        <v>25.350950000000001</v>
      </c>
      <c r="E15" s="110">
        <v>24.404600000000002</v>
      </c>
      <c r="F15" s="110">
        <v>23.014699999999998</v>
      </c>
      <c r="G15" s="110">
        <v>21.76341</v>
      </c>
      <c r="H15" s="110">
        <v>20.877979999999997</v>
      </c>
      <c r="I15" s="110">
        <v>22.143460000000001</v>
      </c>
      <c r="J15" s="110">
        <v>23.868400000000001</v>
      </c>
      <c r="K15" s="110">
        <v>22.389289999999999</v>
      </c>
      <c r="L15" s="110">
        <v>21.083469999999998</v>
      </c>
      <c r="M15" s="110">
        <v>17.686170000000001</v>
      </c>
      <c r="N15" s="110">
        <v>15.512449999999999</v>
      </c>
    </row>
    <row r="16" spans="1:14" x14ac:dyDescent="0.2">
      <c r="A16" s="109" t="s">
        <v>202</v>
      </c>
      <c r="C16" s="101" t="s">
        <v>203</v>
      </c>
      <c r="D16" s="110">
        <v>26.996290000000002</v>
      </c>
      <c r="E16" s="110">
        <v>23.07685</v>
      </c>
      <c r="F16" s="110">
        <v>20.579320000000003</v>
      </c>
      <c r="G16" s="110">
        <v>21.250779999999999</v>
      </c>
      <c r="H16" s="110">
        <v>23.16977</v>
      </c>
      <c r="I16" s="110">
        <v>22.628129999999999</v>
      </c>
      <c r="J16" s="110">
        <v>21.09271</v>
      </c>
      <c r="K16" s="110">
        <v>20.179929999999999</v>
      </c>
      <c r="L16" s="110">
        <v>18.86814</v>
      </c>
      <c r="M16" s="110">
        <v>19.336369999999999</v>
      </c>
      <c r="N16" s="110">
        <v>18.90802</v>
      </c>
    </row>
    <row r="17" spans="1:14" x14ac:dyDescent="0.2">
      <c r="A17" s="109" t="s">
        <v>204</v>
      </c>
      <c r="C17" s="101" t="s">
        <v>205</v>
      </c>
      <c r="D17" s="110">
        <v>25.98995</v>
      </c>
      <c r="E17" s="110">
        <v>25.747160000000001</v>
      </c>
      <c r="F17" s="110">
        <v>25.158940000000001</v>
      </c>
      <c r="G17" s="110">
        <v>23.52713</v>
      </c>
      <c r="H17" s="110">
        <v>23.13279</v>
      </c>
      <c r="I17" s="110">
        <v>22.068989999999999</v>
      </c>
      <c r="J17" s="110">
        <v>22.966349999999998</v>
      </c>
      <c r="K17" s="110">
        <v>24.106159999999999</v>
      </c>
      <c r="L17" s="110">
        <v>22.417870000000001</v>
      </c>
      <c r="M17" s="110">
        <v>20.105360000000001</v>
      </c>
      <c r="N17" s="110">
        <v>17.7407</v>
      </c>
    </row>
    <row r="18" spans="1:14" x14ac:dyDescent="0.2">
      <c r="A18" s="109" t="s">
        <v>206</v>
      </c>
      <c r="C18" s="101" t="s">
        <v>207</v>
      </c>
      <c r="D18" s="110">
        <v>29.226560000000003</v>
      </c>
      <c r="E18" s="110">
        <v>28.437289999999997</v>
      </c>
      <c r="F18" s="110">
        <v>26.335509999999999</v>
      </c>
      <c r="G18" s="110">
        <v>24.717479999999998</v>
      </c>
      <c r="H18" s="110">
        <v>24.62191</v>
      </c>
      <c r="I18" s="110">
        <v>25.600620000000003</v>
      </c>
      <c r="J18" s="110">
        <v>24.838339999999999</v>
      </c>
      <c r="K18" s="110">
        <v>23.613329999999998</v>
      </c>
      <c r="L18" s="110">
        <v>24.788270000000001</v>
      </c>
      <c r="M18" s="110">
        <v>23.098289999999999</v>
      </c>
      <c r="N18" s="110">
        <v>20.699760000000001</v>
      </c>
    </row>
    <row r="19" spans="1:14" x14ac:dyDescent="0.2">
      <c r="A19" s="109" t="s">
        <v>208</v>
      </c>
      <c r="C19" s="101" t="s">
        <v>209</v>
      </c>
      <c r="D19" s="110">
        <v>28.169460000000001</v>
      </c>
      <c r="E19" s="110">
        <v>28.099770000000003</v>
      </c>
      <c r="F19" s="110">
        <v>25.610129999999998</v>
      </c>
      <c r="G19" s="110">
        <v>23.257849999999998</v>
      </c>
      <c r="H19" s="110">
        <v>23.570350000000001</v>
      </c>
      <c r="I19" s="110">
        <v>22.349040000000002</v>
      </c>
      <c r="J19" s="110">
        <v>22.460319999999999</v>
      </c>
      <c r="K19" s="110">
        <v>22.872109999999999</v>
      </c>
      <c r="L19" s="110">
        <v>22.401250000000001</v>
      </c>
      <c r="M19" s="110">
        <v>19.810410000000001</v>
      </c>
      <c r="N19" s="110">
        <v>18.153790000000001</v>
      </c>
    </row>
    <row r="20" spans="1:14" x14ac:dyDescent="0.2">
      <c r="A20" s="109" t="s">
        <v>210</v>
      </c>
      <c r="C20" s="101" t="s">
        <v>211</v>
      </c>
      <c r="D20" s="110">
        <v>25.402580000000004</v>
      </c>
      <c r="E20" s="110">
        <v>26.30517</v>
      </c>
      <c r="F20" s="110">
        <v>26.43047</v>
      </c>
      <c r="G20" s="110">
        <v>26.449159999999999</v>
      </c>
      <c r="H20" s="110">
        <v>22.599639999999997</v>
      </c>
      <c r="I20" s="110">
        <v>20.62107</v>
      </c>
      <c r="J20" s="110">
        <v>20.717700000000001</v>
      </c>
      <c r="K20" s="110">
        <v>20.197699999999998</v>
      </c>
      <c r="L20" s="110">
        <v>17.842839999999999</v>
      </c>
      <c r="M20" s="110">
        <v>17.300879999999999</v>
      </c>
      <c r="N20" s="110">
        <v>17.795909999999999</v>
      </c>
    </row>
    <row r="21" spans="1:14" x14ac:dyDescent="0.2">
      <c r="A21" s="109" t="s">
        <v>212</v>
      </c>
      <c r="C21" s="101" t="s">
        <v>213</v>
      </c>
      <c r="D21" s="110">
        <v>28.256569999999996</v>
      </c>
      <c r="E21" s="110">
        <v>27.683799999999998</v>
      </c>
      <c r="F21" s="110">
        <v>23.051600000000001</v>
      </c>
      <c r="G21" s="110">
        <v>23.933160000000001</v>
      </c>
      <c r="H21" s="110">
        <v>24.718519999999998</v>
      </c>
      <c r="I21" s="110">
        <v>24.105049999999999</v>
      </c>
      <c r="J21" s="110">
        <v>21.401730000000001</v>
      </c>
      <c r="K21" s="110">
        <v>21.706610000000001</v>
      </c>
      <c r="L21" s="110">
        <v>24.286519999999999</v>
      </c>
      <c r="M21" s="110">
        <v>22.296720000000001</v>
      </c>
      <c r="N21" s="110">
        <v>19.435880000000001</v>
      </c>
    </row>
    <row r="22" spans="1:14" x14ac:dyDescent="0.2">
      <c r="A22" s="109" t="s">
        <v>214</v>
      </c>
      <c r="C22" s="101" t="s">
        <v>215</v>
      </c>
      <c r="D22" s="110">
        <v>28.5763</v>
      </c>
      <c r="E22" s="110">
        <v>28.397630000000003</v>
      </c>
      <c r="F22" s="110">
        <v>26.488250000000001</v>
      </c>
      <c r="G22" s="110">
        <v>23.96435</v>
      </c>
      <c r="H22" s="110">
        <v>24.65326</v>
      </c>
      <c r="I22" s="110">
        <v>27.262009999999997</v>
      </c>
      <c r="J22" s="110">
        <v>26.685789999999997</v>
      </c>
      <c r="K22" s="110">
        <v>26.00404</v>
      </c>
      <c r="L22" s="110">
        <v>24.945340000000002</v>
      </c>
      <c r="M22" s="110">
        <v>23.344550000000002</v>
      </c>
      <c r="N22" s="110">
        <v>22.517519999999998</v>
      </c>
    </row>
    <row r="23" spans="1:14" x14ac:dyDescent="0.2">
      <c r="A23" s="109" t="s">
        <v>216</v>
      </c>
      <c r="C23" s="101" t="s">
        <v>217</v>
      </c>
      <c r="D23" s="110">
        <v>27.49586</v>
      </c>
      <c r="E23" s="110">
        <v>26.368979999999997</v>
      </c>
      <c r="F23" s="110">
        <v>28.896339999999999</v>
      </c>
      <c r="G23" s="110">
        <v>31.1372</v>
      </c>
      <c r="H23" s="110">
        <v>30.551020000000001</v>
      </c>
      <c r="I23" s="110">
        <v>26.780559999999998</v>
      </c>
      <c r="J23" s="110">
        <v>24.501200000000001</v>
      </c>
      <c r="K23" s="110">
        <v>24.755469999999999</v>
      </c>
      <c r="L23" s="110">
        <v>23.453520000000001</v>
      </c>
      <c r="M23" s="110">
        <v>23.720980000000001</v>
      </c>
      <c r="N23" s="110">
        <v>24.961220000000001</v>
      </c>
    </row>
    <row r="24" spans="1:14" x14ac:dyDescent="0.2">
      <c r="A24" s="109" t="s">
        <v>218</v>
      </c>
      <c r="C24" s="101" t="s">
        <v>219</v>
      </c>
      <c r="D24" s="110">
        <v>28.476109999999998</v>
      </c>
      <c r="E24" s="110">
        <v>29.398619999999998</v>
      </c>
      <c r="F24" s="110">
        <v>27.531199999999998</v>
      </c>
      <c r="G24" s="110">
        <v>26.624979999999997</v>
      </c>
      <c r="H24" s="110">
        <v>24.33494</v>
      </c>
      <c r="I24" s="110">
        <v>24.001939999999998</v>
      </c>
      <c r="J24" s="110">
        <v>23.584409999999998</v>
      </c>
      <c r="K24" s="110">
        <v>21.781790000000001</v>
      </c>
      <c r="L24" s="110">
        <v>22.034330000000001</v>
      </c>
      <c r="M24" s="110">
        <v>22.859729999999999</v>
      </c>
      <c r="N24" s="110">
        <v>21.45147</v>
      </c>
    </row>
    <row r="25" spans="1:14" x14ac:dyDescent="0.2">
      <c r="A25" s="109" t="s">
        <v>220</v>
      </c>
      <c r="C25" s="101" t="s">
        <v>221</v>
      </c>
      <c r="D25" s="110">
        <v>31.185370000000002</v>
      </c>
      <c r="E25" s="110">
        <v>32.29936</v>
      </c>
      <c r="F25" s="110">
        <v>30.646319999999999</v>
      </c>
      <c r="G25" s="110">
        <v>29.596349999999997</v>
      </c>
      <c r="H25" s="110">
        <v>27.463840000000001</v>
      </c>
      <c r="I25" s="110">
        <v>27.649990000000003</v>
      </c>
      <c r="J25" s="110">
        <v>27.84319</v>
      </c>
      <c r="K25" s="110">
        <v>27.540289999999999</v>
      </c>
      <c r="L25" s="110">
        <v>26.5945</v>
      </c>
      <c r="M25" s="110">
        <v>25.319360000000003</v>
      </c>
      <c r="N25" s="110">
        <v>25.912049999999997</v>
      </c>
    </row>
    <row r="26" spans="1:14" x14ac:dyDescent="0.2">
      <c r="A26" s="109" t="s">
        <v>222</v>
      </c>
      <c r="C26" s="101" t="s">
        <v>223</v>
      </c>
      <c r="D26" s="110">
        <v>29.623909999999999</v>
      </c>
      <c r="E26" s="110">
        <v>28.537430000000004</v>
      </c>
      <c r="F26" s="110">
        <v>26.342280000000002</v>
      </c>
      <c r="G26" s="110">
        <v>28.148299999999999</v>
      </c>
      <c r="H26" s="110">
        <v>26.422139999999999</v>
      </c>
      <c r="I26" s="110">
        <v>25.768649999999997</v>
      </c>
      <c r="J26" s="110">
        <v>26.886339999999997</v>
      </c>
      <c r="K26" s="110">
        <v>25.365359999999999</v>
      </c>
      <c r="L26" s="110">
        <v>24.18242</v>
      </c>
      <c r="M26" s="110">
        <v>22.70242</v>
      </c>
      <c r="N26" s="110">
        <v>19.27561</v>
      </c>
    </row>
    <row r="27" spans="1:14" x14ac:dyDescent="0.2">
      <c r="A27" s="109" t="s">
        <v>224</v>
      </c>
      <c r="C27" s="101" t="s">
        <v>225</v>
      </c>
      <c r="D27" s="110">
        <v>21.570619999999998</v>
      </c>
      <c r="E27" s="110">
        <v>22.041330000000002</v>
      </c>
      <c r="F27" s="110">
        <v>19.621320000000001</v>
      </c>
      <c r="G27" s="110">
        <v>18.29438</v>
      </c>
      <c r="H27" s="110">
        <v>18.990019999999998</v>
      </c>
      <c r="I27" s="110">
        <v>17.699590000000001</v>
      </c>
      <c r="J27" s="110">
        <v>17.386330000000001</v>
      </c>
      <c r="K27" s="110">
        <v>17.665749999999999</v>
      </c>
      <c r="L27" s="110">
        <v>17.540669999999999</v>
      </c>
      <c r="M27" s="110">
        <v>18.511939999999999</v>
      </c>
      <c r="N27" s="110">
        <v>17.25581</v>
      </c>
    </row>
    <row r="28" spans="1:14" x14ac:dyDescent="0.2">
      <c r="A28" s="109" t="s">
        <v>226</v>
      </c>
      <c r="C28" s="101" t="s">
        <v>227</v>
      </c>
      <c r="D28" s="110">
        <v>25.8094</v>
      </c>
      <c r="E28" s="110">
        <v>26.295259999999999</v>
      </c>
      <c r="F28" s="110">
        <v>24.952369999999998</v>
      </c>
      <c r="G28" s="110">
        <v>24.879799999999999</v>
      </c>
      <c r="H28" s="110">
        <v>25.893310000000003</v>
      </c>
      <c r="I28" s="110">
        <v>24.92867</v>
      </c>
      <c r="J28" s="110">
        <v>24.105429999999998</v>
      </c>
      <c r="K28" s="110">
        <v>24.029730000000001</v>
      </c>
      <c r="L28" s="110">
        <v>23.77094</v>
      </c>
      <c r="M28" s="110">
        <v>22.112069999999999</v>
      </c>
      <c r="N28" s="110">
        <v>20.487020000000001</v>
      </c>
    </row>
    <row r="29" spans="1:14" ht="15.75" customHeight="1" x14ac:dyDescent="0.2">
      <c r="A29" s="111" t="s">
        <v>228</v>
      </c>
      <c r="C29" s="108" t="s">
        <v>183</v>
      </c>
      <c r="D29" s="110"/>
      <c r="E29" s="110"/>
      <c r="F29" s="110"/>
      <c r="G29" s="110"/>
      <c r="H29" s="110"/>
      <c r="I29" s="110"/>
      <c r="J29" s="110"/>
      <c r="K29" s="110"/>
      <c r="M29" s="110"/>
      <c r="N29" s="110"/>
    </row>
    <row r="30" spans="1:14" x14ac:dyDescent="0.2">
      <c r="A30" s="112" t="s">
        <v>40</v>
      </c>
      <c r="C30" s="101" t="s">
        <v>229</v>
      </c>
      <c r="D30" s="110">
        <v>26.840510000000002</v>
      </c>
      <c r="E30" s="110">
        <v>26.35361</v>
      </c>
      <c r="F30" s="110">
        <v>25.037320000000001</v>
      </c>
      <c r="G30" s="110">
        <v>23.590479999999999</v>
      </c>
      <c r="H30" s="110">
        <v>23.508879999999998</v>
      </c>
      <c r="I30" s="110">
        <v>23.026029999999999</v>
      </c>
      <c r="J30" s="110">
        <v>22.36431</v>
      </c>
      <c r="K30" s="110">
        <v>22.612909999999999</v>
      </c>
      <c r="L30" s="110">
        <v>21.046720000000001</v>
      </c>
      <c r="M30" s="110">
        <v>20.317360000000001</v>
      </c>
      <c r="N30" s="110">
        <v>21.304860000000001</v>
      </c>
    </row>
    <row r="31" spans="1:14" x14ac:dyDescent="0.2">
      <c r="A31" s="112" t="s">
        <v>51</v>
      </c>
      <c r="C31" s="101" t="s">
        <v>230</v>
      </c>
      <c r="D31" s="110">
        <v>25.968540000000001</v>
      </c>
      <c r="E31" s="110">
        <v>23.560480000000002</v>
      </c>
      <c r="F31" s="110">
        <v>21.852900000000002</v>
      </c>
      <c r="G31" s="110">
        <v>21.484380000000002</v>
      </c>
      <c r="H31" s="110">
        <v>22.029340000000001</v>
      </c>
      <c r="I31" s="110">
        <v>22.46049</v>
      </c>
      <c r="J31" s="110">
        <v>22.103850000000001</v>
      </c>
      <c r="K31" s="110">
        <v>20.836579999999998</v>
      </c>
      <c r="L31" s="110">
        <v>19.738440000000001</v>
      </c>
      <c r="M31" s="110">
        <v>18.598849999999999</v>
      </c>
      <c r="N31" s="110">
        <v>17.07901</v>
      </c>
    </row>
    <row r="32" spans="1:14" x14ac:dyDescent="0.2">
      <c r="A32" s="112" t="s">
        <v>46</v>
      </c>
      <c r="C32" s="101" t="s">
        <v>231</v>
      </c>
      <c r="D32" s="110">
        <v>23.382549999999998</v>
      </c>
      <c r="E32" s="110">
        <v>24.300329999999999</v>
      </c>
      <c r="F32" s="110">
        <v>20.875699999999998</v>
      </c>
      <c r="G32" s="110">
        <v>17.467740000000003</v>
      </c>
      <c r="H32" s="110">
        <v>20.387340000000002</v>
      </c>
      <c r="I32" s="110">
        <v>21.287379999999999</v>
      </c>
      <c r="J32" s="110">
        <v>19.88203</v>
      </c>
      <c r="K32" s="110">
        <v>20.15286</v>
      </c>
      <c r="L32" s="110">
        <v>17.158560000000001</v>
      </c>
      <c r="M32" s="110">
        <v>17.403359999999999</v>
      </c>
      <c r="N32" s="110">
        <v>18.688120000000001</v>
      </c>
    </row>
    <row r="33" spans="1:14" x14ac:dyDescent="0.2">
      <c r="A33" s="112" t="s">
        <v>56</v>
      </c>
      <c r="C33" s="101" t="s">
        <v>232</v>
      </c>
      <c r="D33" s="110">
        <v>27.465210000000003</v>
      </c>
      <c r="E33" s="110">
        <v>27.103120000000004</v>
      </c>
      <c r="F33" s="110">
        <v>25.599219999999999</v>
      </c>
      <c r="G33" s="110">
        <v>23.78134</v>
      </c>
      <c r="H33" s="110">
        <v>23.65652</v>
      </c>
      <c r="I33" s="110">
        <v>23.10915</v>
      </c>
      <c r="J33" s="110">
        <v>23.343779999999999</v>
      </c>
      <c r="K33" s="110">
        <v>23.645130000000002</v>
      </c>
      <c r="L33" s="110">
        <v>23.0535</v>
      </c>
      <c r="M33" s="110">
        <v>20.831679999999999</v>
      </c>
      <c r="N33" s="110">
        <v>18.65061</v>
      </c>
    </row>
    <row r="34" spans="1:14" x14ac:dyDescent="0.2">
      <c r="A34" s="112" t="s">
        <v>66</v>
      </c>
      <c r="C34" s="101" t="s">
        <v>233</v>
      </c>
      <c r="D34" s="110">
        <v>28.37153</v>
      </c>
      <c r="E34" s="110">
        <v>28.002880000000001</v>
      </c>
      <c r="F34" s="110">
        <v>26.95936</v>
      </c>
      <c r="G34" s="110">
        <v>25.334669999999999</v>
      </c>
      <c r="H34" s="110">
        <v>25.784430000000004</v>
      </c>
      <c r="I34" s="110">
        <v>27.169900000000002</v>
      </c>
      <c r="J34" s="110">
        <v>26.268039999999999</v>
      </c>
      <c r="K34" s="110">
        <v>25.75845</v>
      </c>
      <c r="L34" s="110">
        <v>24.645240000000001</v>
      </c>
      <c r="M34" s="110">
        <v>23.41987</v>
      </c>
      <c r="N34" s="110">
        <v>23.003789999999999</v>
      </c>
    </row>
    <row r="35" spans="1:14" x14ac:dyDescent="0.2">
      <c r="A35" s="112" t="s">
        <v>61</v>
      </c>
      <c r="C35" s="101" t="s">
        <v>234</v>
      </c>
      <c r="D35" s="110">
        <v>27.460139999999999</v>
      </c>
      <c r="E35" s="110">
        <v>27.304469999999998</v>
      </c>
      <c r="F35" s="110">
        <v>23.971540000000001</v>
      </c>
      <c r="G35" s="110">
        <v>24.627109999999998</v>
      </c>
      <c r="H35" s="110">
        <v>24.135349999999999</v>
      </c>
      <c r="I35" s="110">
        <v>23.16283</v>
      </c>
      <c r="J35" s="110">
        <v>21.220610000000001</v>
      </c>
      <c r="K35" s="110">
        <v>21.305489999999999</v>
      </c>
      <c r="L35" s="110">
        <v>22.575659999999999</v>
      </c>
      <c r="M35" s="110">
        <v>20.978339999999999</v>
      </c>
      <c r="N35" s="110">
        <v>19.003880000000002</v>
      </c>
    </row>
    <row r="36" spans="1:14" x14ac:dyDescent="0.2">
      <c r="A36" s="112" t="s">
        <v>71</v>
      </c>
      <c r="C36" s="101" t="s">
        <v>235</v>
      </c>
      <c r="D36" s="110">
        <v>27.234690000000001</v>
      </c>
      <c r="E36" s="110">
        <v>27.700229999999998</v>
      </c>
      <c r="F36" s="110">
        <v>25.828010000000003</v>
      </c>
      <c r="G36" s="110">
        <v>25.46387</v>
      </c>
      <c r="H36" s="110">
        <v>24.59599</v>
      </c>
      <c r="I36" s="110">
        <v>23.976459999999999</v>
      </c>
      <c r="J36" s="110">
        <v>23.79908</v>
      </c>
      <c r="K36" s="110">
        <v>22.960059999999999</v>
      </c>
      <c r="L36" s="110">
        <v>22.634450000000001</v>
      </c>
      <c r="M36" s="110">
        <v>22.242419999999999</v>
      </c>
      <c r="N36" s="110">
        <v>20.72053</v>
      </c>
    </row>
    <row r="37" spans="1:14" ht="18" customHeight="1" x14ac:dyDescent="0.2">
      <c r="A37" s="113" t="s">
        <v>35</v>
      </c>
      <c r="B37" s="114"/>
      <c r="C37" s="115" t="s">
        <v>236</v>
      </c>
      <c r="D37" s="110">
        <v>26.997579999999999</v>
      </c>
      <c r="E37" s="110">
        <v>26.5778</v>
      </c>
      <c r="F37" s="110">
        <v>24.715060000000001</v>
      </c>
      <c r="G37" s="110">
        <v>23.759169999999997</v>
      </c>
      <c r="H37" s="110">
        <v>23.720800000000001</v>
      </c>
      <c r="I37" s="110">
        <v>23.484580000000001</v>
      </c>
      <c r="J37" s="110">
        <v>22.849610000000002</v>
      </c>
      <c r="K37" s="110">
        <v>22.618009999999998</v>
      </c>
      <c r="L37" s="110">
        <v>21.922779999999999</v>
      </c>
      <c r="M37" s="110">
        <v>20.814350000000001</v>
      </c>
      <c r="N37" s="110">
        <v>19.90136</v>
      </c>
    </row>
    <row r="38" spans="1:14" ht="3" customHeight="1" x14ac:dyDescent="0.2">
      <c r="A38" s="116"/>
      <c r="B38" s="116"/>
      <c r="C38" s="116"/>
      <c r="D38" s="116"/>
      <c r="E38" s="116"/>
      <c r="F38" s="116"/>
      <c r="G38" s="116"/>
      <c r="H38" s="116"/>
      <c r="I38" s="116"/>
      <c r="J38" s="116"/>
      <c r="K38" s="116"/>
      <c r="L38" s="116"/>
      <c r="M38" s="116"/>
      <c r="N38" s="116"/>
    </row>
    <row r="40" spans="1:14" x14ac:dyDescent="0.2">
      <c r="A40" s="101" t="s">
        <v>237</v>
      </c>
      <c r="B40" s="101" t="s">
        <v>238</v>
      </c>
    </row>
    <row r="41" spans="1:14" x14ac:dyDescent="0.2">
      <c r="A41" s="101" t="s">
        <v>239</v>
      </c>
      <c r="B41" s="101" t="s">
        <v>240</v>
      </c>
    </row>
  </sheetData>
  <mergeCells count="1">
    <mergeCell ref="D4:L4"/>
  </mergeCells>
  <pageMargins left="0.70866141732283472" right="0.70866141732283472" top="0.74803149606299213" bottom="0.74803149606299213" header="0.31496062992125984" footer="0.31496062992125984"/>
  <pageSetup paperSize="9" scale="6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workbookViewId="0">
      <selection activeCell="O47" sqref="O47"/>
    </sheetView>
  </sheetViews>
  <sheetFormatPr defaultRowHeight="11.25" x14ac:dyDescent="0.15"/>
  <cols>
    <col min="1" max="1" width="34.5703125" style="3" bestFit="1" customWidth="1"/>
    <col min="2" max="2" width="12.28515625" style="3" bestFit="1" customWidth="1"/>
    <col min="3" max="16384" width="9.140625" style="3"/>
  </cols>
  <sheetData>
    <row r="1" spans="1:28" x14ac:dyDescent="0.15">
      <c r="A1" s="49" t="s">
        <v>243</v>
      </c>
      <c r="B1" s="49" t="s">
        <v>244</v>
      </c>
      <c r="C1" s="49">
        <v>2014</v>
      </c>
      <c r="D1" s="49">
        <v>2015</v>
      </c>
      <c r="E1" s="49">
        <v>2016</v>
      </c>
      <c r="F1" s="49">
        <v>2017</v>
      </c>
      <c r="G1" s="49">
        <v>2018</v>
      </c>
      <c r="H1" s="49">
        <v>2019</v>
      </c>
      <c r="I1" s="49">
        <v>2020</v>
      </c>
      <c r="J1" s="49">
        <v>2021</v>
      </c>
      <c r="K1" s="49">
        <v>2022</v>
      </c>
      <c r="L1" s="49">
        <v>2023</v>
      </c>
      <c r="M1" s="49">
        <v>2024</v>
      </c>
      <c r="N1" s="49">
        <v>2025</v>
      </c>
      <c r="O1" s="49">
        <v>2026</v>
      </c>
      <c r="P1" s="49">
        <v>2027</v>
      </c>
      <c r="Q1" s="49">
        <v>2028</v>
      </c>
      <c r="R1" s="49">
        <v>2029</v>
      </c>
      <c r="S1" s="49">
        <v>2030</v>
      </c>
      <c r="T1" s="49">
        <v>2031</v>
      </c>
      <c r="U1" s="49">
        <v>2032</v>
      </c>
      <c r="V1" s="49">
        <v>2033</v>
      </c>
      <c r="W1" s="49">
        <v>2034</v>
      </c>
      <c r="X1" s="49">
        <v>2035</v>
      </c>
      <c r="Y1" s="49">
        <v>2036</v>
      </c>
      <c r="Z1" s="49">
        <v>2037</v>
      </c>
      <c r="AA1" s="49">
        <v>2038</v>
      </c>
      <c r="AB1" s="49">
        <v>2039</v>
      </c>
    </row>
    <row r="2" spans="1:28" x14ac:dyDescent="0.15">
      <c r="A2" s="139" t="s">
        <v>56</v>
      </c>
      <c r="B2" s="139" t="s">
        <v>245</v>
      </c>
      <c r="C2" s="139">
        <v>5908</v>
      </c>
      <c r="D2" s="139">
        <v>5768.4482850000004</v>
      </c>
      <c r="E2" s="139">
        <v>5744.0711959999999</v>
      </c>
      <c r="F2" s="139">
        <v>5538.9437239999997</v>
      </c>
      <c r="G2" s="139">
        <v>5420.5497230000001</v>
      </c>
      <c r="H2" s="139">
        <v>5637.254586</v>
      </c>
      <c r="I2" s="139">
        <v>5701.5782589999999</v>
      </c>
      <c r="J2" s="139">
        <v>5804.7782209999996</v>
      </c>
      <c r="K2" s="139">
        <v>5822.8430850000004</v>
      </c>
      <c r="L2" s="139">
        <v>6049.5497059999998</v>
      </c>
      <c r="M2" s="139">
        <v>5839.6553329999997</v>
      </c>
      <c r="N2" s="139">
        <v>5913.0157170000002</v>
      </c>
      <c r="O2" s="139">
        <v>6169.2166269999998</v>
      </c>
      <c r="P2" s="139">
        <v>6277.6694690000004</v>
      </c>
      <c r="Q2" s="139">
        <v>5983.0194430000001</v>
      </c>
      <c r="R2" s="139">
        <v>5817.6227680000002</v>
      </c>
      <c r="S2" s="139">
        <v>5788.4151929999998</v>
      </c>
      <c r="T2" s="139">
        <v>5791.3198970000003</v>
      </c>
      <c r="U2" s="139">
        <v>5800.574638</v>
      </c>
      <c r="V2" s="139">
        <v>5813.2195490000004</v>
      </c>
      <c r="W2" s="139">
        <v>5833.3706920000004</v>
      </c>
      <c r="X2" s="139">
        <v>5855.6320880000003</v>
      </c>
      <c r="Y2" s="139">
        <v>5877.5296129999997</v>
      </c>
      <c r="Z2" s="139">
        <v>5902.0957189999999</v>
      </c>
      <c r="AA2" s="139">
        <v>5910.4595319999999</v>
      </c>
      <c r="AB2" s="139">
        <v>5900.0978089999999</v>
      </c>
    </row>
    <row r="3" spans="1:28" x14ac:dyDescent="0.15">
      <c r="A3" s="139" t="s">
        <v>71</v>
      </c>
      <c r="B3" s="139" t="s">
        <v>245</v>
      </c>
      <c r="C3" s="139">
        <v>7010</v>
      </c>
      <c r="D3" s="139">
        <v>6887.1024530000004</v>
      </c>
      <c r="E3" s="139">
        <v>6617.1237819999997</v>
      </c>
      <c r="F3" s="139">
        <v>6383.032733</v>
      </c>
      <c r="G3" s="139">
        <v>6422.7928140000004</v>
      </c>
      <c r="H3" s="139">
        <v>6557.5799740000002</v>
      </c>
      <c r="I3" s="139">
        <v>6657.070635</v>
      </c>
      <c r="J3" s="139">
        <v>6887.8479939999997</v>
      </c>
      <c r="K3" s="139">
        <v>6907.8228939999999</v>
      </c>
      <c r="L3" s="139">
        <v>7205.1926169999997</v>
      </c>
      <c r="M3" s="139">
        <v>7169.5832090000004</v>
      </c>
      <c r="N3" s="139">
        <v>7193.7756319999999</v>
      </c>
      <c r="O3" s="139">
        <v>7163.7118300000002</v>
      </c>
      <c r="P3" s="139">
        <v>6981.2659290000001</v>
      </c>
      <c r="Q3" s="139">
        <v>6949.5862340000003</v>
      </c>
      <c r="R3" s="139">
        <v>6757.3723810000001</v>
      </c>
      <c r="S3" s="139">
        <v>6743.0709829999996</v>
      </c>
      <c r="T3" s="139">
        <v>6749.3187269999999</v>
      </c>
      <c r="U3" s="139">
        <v>6765.6634329999997</v>
      </c>
      <c r="V3" s="139">
        <v>6775.7896149999997</v>
      </c>
      <c r="W3" s="139">
        <v>6789.952115</v>
      </c>
      <c r="X3" s="139">
        <v>6800.752348</v>
      </c>
      <c r="Y3" s="139">
        <v>6805.5924530000002</v>
      </c>
      <c r="Z3" s="139">
        <v>6810.0538139999999</v>
      </c>
      <c r="AA3" s="139">
        <v>6795.6554470000001</v>
      </c>
      <c r="AB3" s="139">
        <v>6759.4990470000002</v>
      </c>
    </row>
    <row r="4" spans="1:28" x14ac:dyDescent="0.15">
      <c r="A4" s="139" t="s">
        <v>40</v>
      </c>
      <c r="B4" s="139" t="s">
        <v>245</v>
      </c>
      <c r="C4" s="139">
        <v>7838</v>
      </c>
      <c r="D4" s="139">
        <v>7717.9734179999996</v>
      </c>
      <c r="E4" s="139">
        <v>7523.3210120000003</v>
      </c>
      <c r="F4" s="139">
        <v>7270.1761239999996</v>
      </c>
      <c r="G4" s="139">
        <v>7161.0925180000004</v>
      </c>
      <c r="H4" s="139">
        <v>7407.4502140000004</v>
      </c>
      <c r="I4" s="139">
        <v>7725.6547899999996</v>
      </c>
      <c r="J4" s="139">
        <v>8056.2064870000004</v>
      </c>
      <c r="K4" s="139">
        <v>8228.8099110000003</v>
      </c>
      <c r="L4" s="139">
        <v>8476.3414659999999</v>
      </c>
      <c r="M4" s="139">
        <v>8344.2942029999995</v>
      </c>
      <c r="N4" s="139">
        <v>8558.4845530000002</v>
      </c>
      <c r="O4" s="139">
        <v>8603.6910499999994</v>
      </c>
      <c r="P4" s="139">
        <v>8412.0123899999999</v>
      </c>
      <c r="Q4" s="139">
        <v>8184.1813380000003</v>
      </c>
      <c r="R4" s="139">
        <v>7923.7276060000004</v>
      </c>
      <c r="S4" s="139">
        <v>7892.9372080000003</v>
      </c>
      <c r="T4" s="139">
        <v>7899.7771009999997</v>
      </c>
      <c r="U4" s="139">
        <v>7919.3681329999999</v>
      </c>
      <c r="V4" s="139">
        <v>7939.4985530000004</v>
      </c>
      <c r="W4" s="139">
        <v>7967.5252289999999</v>
      </c>
      <c r="X4" s="139">
        <v>7994.6769119999999</v>
      </c>
      <c r="Y4" s="139">
        <v>8018.4746489999998</v>
      </c>
      <c r="Z4" s="139">
        <v>8043.0444349999998</v>
      </c>
      <c r="AA4" s="139">
        <v>8045.8732049999999</v>
      </c>
      <c r="AB4" s="139">
        <v>8025.5746900000004</v>
      </c>
    </row>
    <row r="5" spans="1:28" x14ac:dyDescent="0.15">
      <c r="A5" s="139" t="s">
        <v>61</v>
      </c>
      <c r="B5" s="139" t="s">
        <v>245</v>
      </c>
      <c r="C5" s="139">
        <v>5301</v>
      </c>
      <c r="D5" s="139">
        <v>5154.5522000000001</v>
      </c>
      <c r="E5" s="139">
        <v>4973.7432879999997</v>
      </c>
      <c r="F5" s="139">
        <v>4856.3944179999999</v>
      </c>
      <c r="G5" s="139">
        <v>4960.5177320000003</v>
      </c>
      <c r="H5" s="139">
        <v>5000.9764210000003</v>
      </c>
      <c r="I5" s="139">
        <v>5191.04846</v>
      </c>
      <c r="J5" s="139">
        <v>5537.6293109999997</v>
      </c>
      <c r="K5" s="139">
        <v>5827.0612019999999</v>
      </c>
      <c r="L5" s="139">
        <v>6040.1065019999996</v>
      </c>
      <c r="M5" s="139">
        <v>6020.5755550000003</v>
      </c>
      <c r="N5" s="139">
        <v>6101.6897429999999</v>
      </c>
      <c r="O5" s="139">
        <v>6255.4101039999996</v>
      </c>
      <c r="P5" s="139">
        <v>6335.6658909999996</v>
      </c>
      <c r="Q5" s="139">
        <v>6020.6962839999997</v>
      </c>
      <c r="R5" s="139">
        <v>5958.1916700000002</v>
      </c>
      <c r="S5" s="139">
        <v>5958.6078889999999</v>
      </c>
      <c r="T5" s="139">
        <v>6000.0565269999997</v>
      </c>
      <c r="U5" s="139">
        <v>6051.3729389999999</v>
      </c>
      <c r="V5" s="139">
        <v>6109.4586220000001</v>
      </c>
      <c r="W5" s="139">
        <v>6178.4840100000001</v>
      </c>
      <c r="X5" s="139">
        <v>6252.9707170000001</v>
      </c>
      <c r="Y5" s="139">
        <v>6331.3053520000003</v>
      </c>
      <c r="Z5" s="139">
        <v>6417.203544</v>
      </c>
      <c r="AA5" s="139">
        <v>6488.3798539999998</v>
      </c>
      <c r="AB5" s="139">
        <v>6541.3559509999995</v>
      </c>
    </row>
    <row r="6" spans="1:28" x14ac:dyDescent="0.15">
      <c r="A6" s="139" t="s">
        <v>66</v>
      </c>
      <c r="B6" s="139" t="s">
        <v>245</v>
      </c>
      <c r="C6" s="139">
        <v>3532</v>
      </c>
      <c r="D6" s="139">
        <v>3301.7666509999999</v>
      </c>
      <c r="E6" s="139">
        <v>3167.0012379999998</v>
      </c>
      <c r="F6" s="139">
        <v>3078.8714289999998</v>
      </c>
      <c r="G6" s="139">
        <v>3208.2688680000001</v>
      </c>
      <c r="H6" s="139">
        <v>3196.64383</v>
      </c>
      <c r="I6" s="139">
        <v>3325.1981209999999</v>
      </c>
      <c r="J6" s="139">
        <v>3464.965197</v>
      </c>
      <c r="K6" s="139">
        <v>3406.4086689999999</v>
      </c>
      <c r="L6" s="139">
        <v>3591.919269</v>
      </c>
      <c r="M6" s="139">
        <v>3632.3904819999998</v>
      </c>
      <c r="N6" s="139">
        <v>3558.6536759999999</v>
      </c>
      <c r="O6" s="139">
        <v>3689.8607099999999</v>
      </c>
      <c r="P6" s="139">
        <v>3656.279814</v>
      </c>
      <c r="Q6" s="139">
        <v>3509.9967190000002</v>
      </c>
      <c r="R6" s="139">
        <v>3418.9164129999999</v>
      </c>
      <c r="S6" s="139">
        <v>3421.740374</v>
      </c>
      <c r="T6" s="139">
        <v>3421.7208780000001</v>
      </c>
      <c r="U6" s="139">
        <v>3431.1425060000001</v>
      </c>
      <c r="V6" s="139">
        <v>3437.1155720000002</v>
      </c>
      <c r="W6" s="139">
        <v>3445.4825300000002</v>
      </c>
      <c r="X6" s="139">
        <v>3455.3312310000001</v>
      </c>
      <c r="Y6" s="139">
        <v>3461.8511840000001</v>
      </c>
      <c r="Z6" s="139">
        <v>3469.3671869999998</v>
      </c>
      <c r="AA6" s="139">
        <v>3467.1790820000001</v>
      </c>
      <c r="AB6" s="139">
        <v>3453.4485359999999</v>
      </c>
    </row>
    <row r="7" spans="1:28" x14ac:dyDescent="0.15">
      <c r="A7" s="139" t="s">
        <v>51</v>
      </c>
      <c r="B7" s="139" t="s">
        <v>245</v>
      </c>
      <c r="C7" s="139">
        <v>4428</v>
      </c>
      <c r="D7" s="139">
        <v>4217.6524820000004</v>
      </c>
      <c r="E7" s="139">
        <v>4209.7224210000004</v>
      </c>
      <c r="F7" s="139">
        <v>3863.5770050000001</v>
      </c>
      <c r="G7" s="139">
        <v>3991.9357660000001</v>
      </c>
      <c r="H7" s="139">
        <v>4024.7748750000001</v>
      </c>
      <c r="I7" s="139">
        <v>4138.2153410000001</v>
      </c>
      <c r="J7" s="139">
        <v>4255.293181</v>
      </c>
      <c r="K7" s="139">
        <v>4330.7150929999998</v>
      </c>
      <c r="L7" s="139">
        <v>4437.8310629999996</v>
      </c>
      <c r="M7" s="139">
        <v>4268.7380300000004</v>
      </c>
      <c r="N7" s="139">
        <v>4420.8312640000004</v>
      </c>
      <c r="O7" s="139">
        <v>4557.88771</v>
      </c>
      <c r="P7" s="139">
        <v>4363.3238510000001</v>
      </c>
      <c r="Q7" s="139">
        <v>4148.2679440000002</v>
      </c>
      <c r="R7" s="139">
        <v>4065.0695070000002</v>
      </c>
      <c r="S7" s="139">
        <v>4018.8053650000002</v>
      </c>
      <c r="T7" s="139">
        <v>4024.5701909999998</v>
      </c>
      <c r="U7" s="139">
        <v>4038.4887859999999</v>
      </c>
      <c r="V7" s="139">
        <v>4053.8646640000002</v>
      </c>
      <c r="W7" s="139">
        <v>4073.1105229999998</v>
      </c>
      <c r="X7" s="139">
        <v>4094.0688890000001</v>
      </c>
      <c r="Y7" s="139">
        <v>4112.4137250000003</v>
      </c>
      <c r="Z7" s="139">
        <v>4131.1038399999998</v>
      </c>
      <c r="AA7" s="139">
        <v>4139.5385930000002</v>
      </c>
      <c r="AB7" s="139">
        <v>4135.5544959999997</v>
      </c>
    </row>
    <row r="8" spans="1:28" x14ac:dyDescent="0.15">
      <c r="A8" s="139" t="s">
        <v>46</v>
      </c>
      <c r="B8" s="139" t="s">
        <v>245</v>
      </c>
      <c r="C8" s="139">
        <v>1734</v>
      </c>
      <c r="D8" s="139">
        <v>1528.6384619999999</v>
      </c>
      <c r="E8" s="139">
        <v>1436.141439</v>
      </c>
      <c r="F8" s="139">
        <v>1442.116716</v>
      </c>
      <c r="G8" s="139">
        <v>1360.5351149999999</v>
      </c>
      <c r="H8" s="139">
        <v>1413.6836269999999</v>
      </c>
      <c r="I8" s="139">
        <v>1423.575529</v>
      </c>
      <c r="J8" s="139">
        <v>1411.967817</v>
      </c>
      <c r="K8" s="139">
        <v>1418.3919089999999</v>
      </c>
      <c r="L8" s="139">
        <v>1508.5997669999999</v>
      </c>
      <c r="M8" s="139">
        <v>1430.477241</v>
      </c>
      <c r="N8" s="139">
        <v>1428.648749</v>
      </c>
      <c r="O8" s="139">
        <v>1460.717234</v>
      </c>
      <c r="P8" s="139">
        <v>1406.7494750000001</v>
      </c>
      <c r="Q8" s="139">
        <v>1394.2459570000001</v>
      </c>
      <c r="R8" s="139">
        <v>1350.1847990000001</v>
      </c>
      <c r="S8" s="139">
        <v>1337.8620619999999</v>
      </c>
      <c r="T8" s="139">
        <v>1339.0521719999999</v>
      </c>
      <c r="U8" s="139">
        <v>1342.00982</v>
      </c>
      <c r="V8" s="139">
        <v>1343.473847</v>
      </c>
      <c r="W8" s="139">
        <v>1345.7474749999999</v>
      </c>
      <c r="X8" s="139">
        <v>1347.9010229999999</v>
      </c>
      <c r="Y8" s="139">
        <v>1348.2472580000001</v>
      </c>
      <c r="Z8" s="139">
        <v>1347.631854</v>
      </c>
      <c r="AA8" s="139">
        <v>1342.8555220000001</v>
      </c>
      <c r="AB8" s="139">
        <v>1332.8580239999999</v>
      </c>
    </row>
    <row r="9" spans="1:28" x14ac:dyDescent="0.15">
      <c r="A9" s="139" t="s">
        <v>35</v>
      </c>
      <c r="B9" s="139" t="s">
        <v>245</v>
      </c>
      <c r="C9" s="139">
        <v>35751</v>
      </c>
      <c r="D9" s="139">
        <v>34583</v>
      </c>
      <c r="E9" s="139">
        <v>33678</v>
      </c>
      <c r="F9" s="139">
        <v>32435</v>
      </c>
      <c r="G9" s="139">
        <v>32525</v>
      </c>
      <c r="H9" s="139">
        <v>33212</v>
      </c>
      <c r="I9" s="139">
        <v>34190</v>
      </c>
      <c r="J9" s="139">
        <v>35456</v>
      </c>
      <c r="K9" s="139">
        <v>35995</v>
      </c>
      <c r="L9" s="139">
        <v>37427</v>
      </c>
      <c r="M9" s="139">
        <v>36792</v>
      </c>
      <c r="N9" s="139">
        <v>37364</v>
      </c>
      <c r="O9" s="139">
        <v>38201</v>
      </c>
      <c r="P9" s="139">
        <v>37446</v>
      </c>
      <c r="Q9" s="139">
        <v>36258</v>
      </c>
      <c r="R9" s="139">
        <v>35315</v>
      </c>
      <c r="S9" s="139">
        <v>35085</v>
      </c>
      <c r="T9" s="139">
        <v>35271</v>
      </c>
      <c r="U9" s="139">
        <v>35527</v>
      </c>
      <c r="V9" s="139">
        <v>35770</v>
      </c>
      <c r="W9" s="139">
        <v>36080</v>
      </c>
      <c r="X9" s="139">
        <v>36378</v>
      </c>
      <c r="Y9" s="139">
        <v>36660</v>
      </c>
      <c r="Z9" s="139">
        <v>36943</v>
      </c>
      <c r="AA9" s="139">
        <v>37086</v>
      </c>
      <c r="AB9" s="139">
        <v>37078</v>
      </c>
    </row>
    <row r="10" spans="1:28" x14ac:dyDescent="0.15">
      <c r="A10" s="139"/>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row>
    <row r="11" spans="1:28" x14ac:dyDescent="0.15">
      <c r="A11" s="139" t="s">
        <v>56</v>
      </c>
      <c r="B11" s="139" t="s">
        <v>246</v>
      </c>
      <c r="C11" s="139">
        <v>431524</v>
      </c>
      <c r="D11" s="139">
        <v>433096.13495600002</v>
      </c>
      <c r="E11" s="139">
        <v>434581.00180600001</v>
      </c>
      <c r="F11" s="139">
        <v>436052.60230500001</v>
      </c>
      <c r="G11" s="139">
        <v>437315.40821299999</v>
      </c>
      <c r="H11" s="139">
        <v>438456.28162800003</v>
      </c>
      <c r="I11" s="139">
        <v>439804.75209099997</v>
      </c>
      <c r="J11" s="139">
        <v>441207.465517</v>
      </c>
      <c r="K11" s="139">
        <v>442701.00520499999</v>
      </c>
      <c r="L11" s="139">
        <v>444192.98261299997</v>
      </c>
      <c r="M11" s="139">
        <v>445885.50200199999</v>
      </c>
      <c r="N11" s="139">
        <v>447342.69647199998</v>
      </c>
      <c r="O11" s="139">
        <v>448845.49132199999</v>
      </c>
      <c r="P11" s="139">
        <v>450562.39101700002</v>
      </c>
      <c r="Q11" s="139">
        <v>452344.29965599999</v>
      </c>
      <c r="R11" s="139">
        <v>453786.23135299998</v>
      </c>
      <c r="S11" s="139">
        <v>455011.99343899998</v>
      </c>
      <c r="T11" s="139">
        <v>456157.34893500002</v>
      </c>
      <c r="U11" s="139">
        <v>457252.61739700002</v>
      </c>
      <c r="V11" s="139">
        <v>458299.759106001</v>
      </c>
      <c r="W11" s="139">
        <v>459301.55950099998</v>
      </c>
      <c r="X11" s="139">
        <v>460265.78650799999</v>
      </c>
      <c r="Y11" s="139">
        <v>461197.06934699998</v>
      </c>
      <c r="Z11" s="139">
        <v>462089.19954200002</v>
      </c>
      <c r="AA11" s="139">
        <v>462951.02269200003</v>
      </c>
      <c r="AB11" s="139">
        <v>463774.44351000001</v>
      </c>
    </row>
    <row r="12" spans="1:28" x14ac:dyDescent="0.15">
      <c r="A12" s="139" t="s">
        <v>71</v>
      </c>
      <c r="B12" s="139" t="s">
        <v>246</v>
      </c>
      <c r="C12" s="139">
        <v>472104</v>
      </c>
      <c r="D12" s="139">
        <v>473240.01107100002</v>
      </c>
      <c r="E12" s="139">
        <v>474295.70234399999</v>
      </c>
      <c r="F12" s="139">
        <v>475093.76023499999</v>
      </c>
      <c r="G12" s="139">
        <v>475652.79979200102</v>
      </c>
      <c r="H12" s="139">
        <v>476247.44657799997</v>
      </c>
      <c r="I12" s="139">
        <v>476966.89448199997</v>
      </c>
      <c r="J12" s="139">
        <v>477770.610736</v>
      </c>
      <c r="K12" s="139">
        <v>478777.120903</v>
      </c>
      <c r="L12" s="139">
        <v>479784.11939900002</v>
      </c>
      <c r="M12" s="139">
        <v>481049.68363799999</v>
      </c>
      <c r="N12" s="139">
        <v>482238.33621600003</v>
      </c>
      <c r="O12" s="139">
        <v>483404.25614900002</v>
      </c>
      <c r="P12" s="139">
        <v>484476.97126299998</v>
      </c>
      <c r="Q12" s="139">
        <v>485320.73981499998</v>
      </c>
      <c r="R12" s="139">
        <v>486069.172578</v>
      </c>
      <c r="S12" s="139">
        <v>486571.61499099998</v>
      </c>
      <c r="T12" s="139">
        <v>486994.68488399999</v>
      </c>
      <c r="U12" s="139">
        <v>487356.61161800002</v>
      </c>
      <c r="V12" s="139">
        <v>487669.29261499998</v>
      </c>
      <c r="W12" s="139">
        <v>487927.08829799999</v>
      </c>
      <c r="X12" s="139">
        <v>488141.77525100001</v>
      </c>
      <c r="Y12" s="139">
        <v>488303.62152699998</v>
      </c>
      <c r="Z12" s="139">
        <v>488409.31681400002</v>
      </c>
      <c r="AA12" s="139">
        <v>488459.58880799997</v>
      </c>
      <c r="AB12" s="139">
        <v>488447.273736</v>
      </c>
    </row>
    <row r="13" spans="1:28" x14ac:dyDescent="0.15">
      <c r="A13" s="139" t="s">
        <v>40</v>
      </c>
      <c r="B13" s="139" t="s">
        <v>246</v>
      </c>
      <c r="C13" s="139">
        <v>570272</v>
      </c>
      <c r="D13" s="139">
        <v>571720.16128200002</v>
      </c>
      <c r="E13" s="139">
        <v>573113.11488000001</v>
      </c>
      <c r="F13" s="139">
        <v>574318.39807199896</v>
      </c>
      <c r="G13" s="139">
        <v>575251.31502600003</v>
      </c>
      <c r="H13" s="139">
        <v>576061.04421099997</v>
      </c>
      <c r="I13" s="139">
        <v>577104.60456000105</v>
      </c>
      <c r="J13" s="139">
        <v>578453.99744800106</v>
      </c>
      <c r="K13" s="139">
        <v>580112.46807600104</v>
      </c>
      <c r="L13" s="139">
        <v>581906.45371099899</v>
      </c>
      <c r="M13" s="139">
        <v>583899.359140001</v>
      </c>
      <c r="N13" s="139">
        <v>585712.36380100006</v>
      </c>
      <c r="O13" s="139">
        <v>587685.732591999</v>
      </c>
      <c r="P13" s="139">
        <v>589635.107454999</v>
      </c>
      <c r="Q13" s="139">
        <v>591322.43959700095</v>
      </c>
      <c r="R13" s="139">
        <v>592704.84955899895</v>
      </c>
      <c r="S13" s="139">
        <v>593748.24699400004</v>
      </c>
      <c r="T13" s="139">
        <v>594682.801528999</v>
      </c>
      <c r="U13" s="139">
        <v>595539.09268700005</v>
      </c>
      <c r="V13" s="139">
        <v>596331.77177899901</v>
      </c>
      <c r="W13" s="139">
        <v>597062.12483000103</v>
      </c>
      <c r="X13" s="139">
        <v>597739.53897999995</v>
      </c>
      <c r="Y13" s="139">
        <v>598366.83482600003</v>
      </c>
      <c r="Z13" s="139">
        <v>598934.36078999995</v>
      </c>
      <c r="AA13" s="139">
        <v>599455.45544199902</v>
      </c>
      <c r="AB13" s="139">
        <v>599924.62976000004</v>
      </c>
    </row>
    <row r="14" spans="1:28" x14ac:dyDescent="0.15">
      <c r="A14" s="139" t="s">
        <v>61</v>
      </c>
      <c r="B14" s="139" t="s">
        <v>246</v>
      </c>
      <c r="C14" s="139">
        <v>393054</v>
      </c>
      <c r="D14" s="139">
        <v>395594.45810699998</v>
      </c>
      <c r="E14" s="139">
        <v>398035.71383099997</v>
      </c>
      <c r="F14" s="139">
        <v>400308.529423</v>
      </c>
      <c r="G14" s="139">
        <v>402476.81983300002</v>
      </c>
      <c r="H14" s="139">
        <v>404748.90970800002</v>
      </c>
      <c r="I14" s="139">
        <v>407062.20113200002</v>
      </c>
      <c r="J14" s="139">
        <v>409566.37601299997</v>
      </c>
      <c r="K14" s="139">
        <v>412411.84980500001</v>
      </c>
      <c r="L14" s="139">
        <v>415532.14066700003</v>
      </c>
      <c r="M14" s="139">
        <v>418844.72469800001</v>
      </c>
      <c r="N14" s="139">
        <v>422115.51020700001</v>
      </c>
      <c r="O14" s="139">
        <v>425441.27765599999</v>
      </c>
      <c r="P14" s="139">
        <v>428885.20869</v>
      </c>
      <c r="Q14" s="139">
        <v>432367.507231</v>
      </c>
      <c r="R14" s="139">
        <v>435495.47091199999</v>
      </c>
      <c r="S14" s="139">
        <v>438518.97205799998</v>
      </c>
      <c r="T14" s="139">
        <v>441498.00342299999</v>
      </c>
      <c r="U14" s="139">
        <v>444468.87983599998</v>
      </c>
      <c r="V14" s="139">
        <v>447437.22287499998</v>
      </c>
      <c r="W14" s="139">
        <v>450408.81962000002</v>
      </c>
      <c r="X14" s="139">
        <v>453393.89834499999</v>
      </c>
      <c r="Y14" s="139">
        <v>456398.07235700003</v>
      </c>
      <c r="Z14" s="139">
        <v>459417.78648100002</v>
      </c>
      <c r="AA14" s="139">
        <v>462463.69345600001</v>
      </c>
      <c r="AB14" s="139">
        <v>465526.75532599998</v>
      </c>
    </row>
    <row r="15" spans="1:28" x14ac:dyDescent="0.15">
      <c r="A15" s="139" t="s">
        <v>66</v>
      </c>
      <c r="B15" s="139" t="s">
        <v>246</v>
      </c>
      <c r="C15" s="139">
        <v>240741</v>
      </c>
      <c r="D15" s="139">
        <v>241234.67987399999</v>
      </c>
      <c r="E15" s="139">
        <v>241536.36161399999</v>
      </c>
      <c r="F15" s="139">
        <v>241727.08792200001</v>
      </c>
      <c r="G15" s="139">
        <v>241850.16884100001</v>
      </c>
      <c r="H15" s="139">
        <v>242113.47169899999</v>
      </c>
      <c r="I15" s="139">
        <v>242377.82701099999</v>
      </c>
      <c r="J15" s="139">
        <v>242774.180892</v>
      </c>
      <c r="K15" s="139">
        <v>243305.65867199999</v>
      </c>
      <c r="L15" s="139">
        <v>243777.42733000001</v>
      </c>
      <c r="M15" s="139">
        <v>244426.87740500001</v>
      </c>
      <c r="N15" s="139">
        <v>245103.33906500001</v>
      </c>
      <c r="O15" s="139">
        <v>245691.38653600001</v>
      </c>
      <c r="P15" s="139">
        <v>246391.26743400001</v>
      </c>
      <c r="Q15" s="139">
        <v>247039.70862600001</v>
      </c>
      <c r="R15" s="139">
        <v>247521.087806</v>
      </c>
      <c r="S15" s="139">
        <v>247890.35577699999</v>
      </c>
      <c r="T15" s="139">
        <v>248239.04630799999</v>
      </c>
      <c r="U15" s="139">
        <v>248562.699452</v>
      </c>
      <c r="V15" s="139">
        <v>248873.09736300001</v>
      </c>
      <c r="W15" s="139">
        <v>249167.01192200001</v>
      </c>
      <c r="X15" s="139">
        <v>249445.09421400001</v>
      </c>
      <c r="Y15" s="139">
        <v>249703.475446</v>
      </c>
      <c r="Z15" s="139">
        <v>249942.22596400001</v>
      </c>
      <c r="AA15" s="139">
        <v>250167.699574</v>
      </c>
      <c r="AB15" s="139">
        <v>250373.148556</v>
      </c>
    </row>
    <row r="16" spans="1:28" x14ac:dyDescent="0.15">
      <c r="A16" s="139" t="s">
        <v>51</v>
      </c>
      <c r="B16" s="139" t="s">
        <v>246</v>
      </c>
      <c r="C16" s="139">
        <v>318739</v>
      </c>
      <c r="D16" s="139">
        <v>319746.37482199998</v>
      </c>
      <c r="E16" s="139">
        <v>320574.61741599999</v>
      </c>
      <c r="F16" s="139">
        <v>321384.725844</v>
      </c>
      <c r="G16" s="139">
        <v>321845.35560000001</v>
      </c>
      <c r="H16" s="139">
        <v>322421.85887300002</v>
      </c>
      <c r="I16" s="139">
        <v>323018.43992999999</v>
      </c>
      <c r="J16" s="139">
        <v>323717.867111</v>
      </c>
      <c r="K16" s="139">
        <v>324519.05613400001</v>
      </c>
      <c r="L16" s="139">
        <v>325370.535645</v>
      </c>
      <c r="M16" s="139">
        <v>326297.67750400002</v>
      </c>
      <c r="N16" s="139">
        <v>327029.10783499997</v>
      </c>
      <c r="O16" s="139">
        <v>327879.40043099999</v>
      </c>
      <c r="P16" s="139">
        <v>328821.07250000001</v>
      </c>
      <c r="Q16" s="139">
        <v>329527.089828</v>
      </c>
      <c r="R16" s="139">
        <v>329969.89879200002</v>
      </c>
      <c r="S16" s="139">
        <v>330281.38137299998</v>
      </c>
      <c r="T16" s="139">
        <v>330505.571269001</v>
      </c>
      <c r="U16" s="139">
        <v>330688.46849599999</v>
      </c>
      <c r="V16" s="139">
        <v>330835.11515099998</v>
      </c>
      <c r="W16" s="139">
        <v>330944.26352199999</v>
      </c>
      <c r="X16" s="139">
        <v>331021.75740900001</v>
      </c>
      <c r="Y16" s="139">
        <v>331075.60377599997</v>
      </c>
      <c r="Z16" s="139">
        <v>331101.06420999998</v>
      </c>
      <c r="AA16" s="139">
        <v>331100.40537400002</v>
      </c>
      <c r="AB16" s="139">
        <v>331071.75098700001</v>
      </c>
    </row>
    <row r="17" spans="1:28" x14ac:dyDescent="0.15">
      <c r="A17" s="139" t="s">
        <v>46</v>
      </c>
      <c r="B17" s="139" t="s">
        <v>246</v>
      </c>
      <c r="C17" s="139">
        <v>110761</v>
      </c>
      <c r="D17" s="139">
        <v>110965.62489399999</v>
      </c>
      <c r="E17" s="139">
        <v>110971.197892</v>
      </c>
      <c r="F17" s="139">
        <v>110880.02133800001</v>
      </c>
      <c r="G17" s="139">
        <v>110783.547228</v>
      </c>
      <c r="H17" s="139">
        <v>110596.460538</v>
      </c>
      <c r="I17" s="139">
        <v>110454.37906599999</v>
      </c>
      <c r="J17" s="139">
        <v>110312.035267</v>
      </c>
      <c r="K17" s="139">
        <v>110151.231227</v>
      </c>
      <c r="L17" s="139">
        <v>109983.454036</v>
      </c>
      <c r="M17" s="139">
        <v>109888.64476</v>
      </c>
      <c r="N17" s="139">
        <v>109703.312272</v>
      </c>
      <c r="O17" s="139">
        <v>109502.54639</v>
      </c>
      <c r="P17" s="139">
        <v>109312.811277</v>
      </c>
      <c r="Q17" s="139">
        <v>109051.450126</v>
      </c>
      <c r="R17" s="139">
        <v>108760.329231</v>
      </c>
      <c r="S17" s="139">
        <v>108406.91488</v>
      </c>
      <c r="T17" s="139">
        <v>108020.592453</v>
      </c>
      <c r="U17" s="139">
        <v>107615.043357</v>
      </c>
      <c r="V17" s="139">
        <v>107192.029618</v>
      </c>
      <c r="W17" s="139">
        <v>106748.19567099999</v>
      </c>
      <c r="X17" s="139">
        <v>106285.580825</v>
      </c>
      <c r="Y17" s="139">
        <v>105808.61444999999</v>
      </c>
      <c r="Z17" s="139">
        <v>105311.11378</v>
      </c>
      <c r="AA17" s="139">
        <v>104794.18769399999</v>
      </c>
      <c r="AB17" s="139">
        <v>104257.032124</v>
      </c>
    </row>
    <row r="18" spans="1:28" x14ac:dyDescent="0.15">
      <c r="A18" s="139" t="s">
        <v>35</v>
      </c>
      <c r="B18" s="139" t="s">
        <v>246</v>
      </c>
      <c r="C18" s="139">
        <v>2537195</v>
      </c>
      <c r="D18" s="139">
        <v>2546790</v>
      </c>
      <c r="E18" s="139">
        <v>2555547</v>
      </c>
      <c r="F18" s="139">
        <v>2563180</v>
      </c>
      <c r="G18" s="139">
        <v>2569264</v>
      </c>
      <c r="H18" s="139">
        <v>2575200</v>
      </c>
      <c r="I18" s="139">
        <v>2581373</v>
      </c>
      <c r="J18" s="139">
        <v>2588257</v>
      </c>
      <c r="K18" s="139">
        <v>2596328</v>
      </c>
      <c r="L18" s="139">
        <v>2604892</v>
      </c>
      <c r="M18" s="139">
        <v>2614880</v>
      </c>
      <c r="N18" s="139">
        <v>2624233</v>
      </c>
      <c r="O18" s="139">
        <v>2634085</v>
      </c>
      <c r="P18" s="139">
        <v>2644589</v>
      </c>
      <c r="Q18" s="139">
        <v>2654083</v>
      </c>
      <c r="R18" s="139">
        <v>2661987</v>
      </c>
      <c r="S18" s="139">
        <v>2668517</v>
      </c>
      <c r="T18" s="139">
        <v>2674378</v>
      </c>
      <c r="U18" s="139">
        <v>2679892</v>
      </c>
      <c r="V18" s="139">
        <v>2685097</v>
      </c>
      <c r="W18" s="139">
        <v>2689943</v>
      </c>
      <c r="X18" s="139">
        <v>2694618</v>
      </c>
      <c r="Y18" s="139">
        <v>2699210</v>
      </c>
      <c r="Z18" s="139">
        <v>2703757</v>
      </c>
      <c r="AA18" s="139">
        <v>2708294</v>
      </c>
      <c r="AB18" s="139">
        <v>2712678</v>
      </c>
    </row>
    <row r="19" spans="1:28" x14ac:dyDescent="0.15">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row>
    <row r="20" spans="1:28" x14ac:dyDescent="0.15">
      <c r="A20" s="139" t="s">
        <v>35</v>
      </c>
      <c r="B20" s="139" t="s">
        <v>245</v>
      </c>
      <c r="C20" s="139">
        <v>35751</v>
      </c>
      <c r="D20" s="139">
        <v>34583</v>
      </c>
      <c r="E20" s="139">
        <v>33678</v>
      </c>
      <c r="F20" s="139">
        <v>32435</v>
      </c>
      <c r="G20" s="139">
        <v>32525</v>
      </c>
      <c r="H20" s="139">
        <v>33212</v>
      </c>
      <c r="I20" s="139">
        <v>34190</v>
      </c>
      <c r="J20" s="139">
        <v>35456</v>
      </c>
      <c r="K20" s="139">
        <v>35995</v>
      </c>
      <c r="L20" s="139">
        <v>37427</v>
      </c>
      <c r="M20" s="139">
        <v>36792</v>
      </c>
      <c r="N20" s="139">
        <v>37364</v>
      </c>
      <c r="O20" s="139">
        <v>38201</v>
      </c>
      <c r="P20" s="139">
        <v>37446</v>
      </c>
      <c r="Q20" s="139">
        <v>36258</v>
      </c>
      <c r="R20" s="139">
        <v>35315</v>
      </c>
      <c r="S20" s="139">
        <v>35085</v>
      </c>
      <c r="T20" s="139">
        <v>35271</v>
      </c>
      <c r="U20" s="139">
        <v>35527</v>
      </c>
      <c r="V20" s="139">
        <v>35770</v>
      </c>
      <c r="W20" s="139">
        <v>36080</v>
      </c>
      <c r="X20" s="139">
        <v>36378</v>
      </c>
      <c r="Y20" s="139">
        <v>36660</v>
      </c>
      <c r="Z20" s="139">
        <v>36943</v>
      </c>
      <c r="AA20" s="139">
        <v>37086</v>
      </c>
      <c r="AB20" s="139">
        <v>37078</v>
      </c>
    </row>
    <row r="21" spans="1:28" x14ac:dyDescent="0.15">
      <c r="A21" s="139" t="s">
        <v>35</v>
      </c>
      <c r="B21" s="139" t="s">
        <v>246</v>
      </c>
      <c r="C21" s="139">
        <v>2537195</v>
      </c>
      <c r="D21" s="139">
        <v>2546790</v>
      </c>
      <c r="E21" s="139">
        <v>2555547</v>
      </c>
      <c r="F21" s="139">
        <v>2563180</v>
      </c>
      <c r="G21" s="139">
        <v>2569264</v>
      </c>
      <c r="H21" s="139">
        <v>2575200</v>
      </c>
      <c r="I21" s="139">
        <v>2581373</v>
      </c>
      <c r="J21" s="139">
        <v>2588257</v>
      </c>
      <c r="K21" s="139">
        <v>2596328</v>
      </c>
      <c r="L21" s="139">
        <v>2604892</v>
      </c>
      <c r="M21" s="139">
        <v>2614880</v>
      </c>
      <c r="N21" s="139">
        <v>2624233</v>
      </c>
      <c r="O21" s="139">
        <v>2634085</v>
      </c>
      <c r="P21" s="139">
        <v>2644589</v>
      </c>
      <c r="Q21" s="139">
        <v>2654083</v>
      </c>
      <c r="R21" s="139">
        <v>2661987</v>
      </c>
      <c r="S21" s="139">
        <v>2668517</v>
      </c>
      <c r="T21" s="139">
        <v>2674378</v>
      </c>
      <c r="U21" s="139">
        <v>2679892</v>
      </c>
      <c r="V21" s="139">
        <v>2685097</v>
      </c>
      <c r="W21" s="139">
        <v>2689943</v>
      </c>
      <c r="X21" s="139">
        <v>2694618</v>
      </c>
      <c r="Y21" s="139">
        <v>2699210</v>
      </c>
      <c r="Z21" s="139">
        <v>2703757</v>
      </c>
      <c r="AA21" s="139">
        <v>2708294</v>
      </c>
      <c r="AB21" s="139">
        <v>2712678</v>
      </c>
    </row>
    <row r="25" spans="1:28" x14ac:dyDescent="0.15">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row>
    <row r="26" spans="1:28" x14ac:dyDescent="0.15">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row>
    <row r="27" spans="1:28" x14ac:dyDescent="0.15">
      <c r="A27" s="123"/>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row>
    <row r="28" spans="1:28" x14ac:dyDescent="0.15">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row>
    <row r="29" spans="1:28"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row>
    <row r="30" spans="1:28" x14ac:dyDescent="0.15">
      <c r="A30" s="123"/>
      <c r="B30" s="123"/>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row>
    <row r="31" spans="1:28" x14ac:dyDescent="0.15">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row>
    <row r="32" spans="1:28" x14ac:dyDescent="0.15">
      <c r="A32" s="12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row>
    <row r="33" spans="1:28" x14ac:dyDescent="0.15">
      <c r="A33" s="123"/>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row>
    <row r="34" spans="1:28" x14ac:dyDescent="0.15">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row>
    <row r="35" spans="1:28" x14ac:dyDescent="0.15">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row>
    <row r="36" spans="1:28" x14ac:dyDescent="0.15">
      <c r="A36" s="123"/>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row>
    <row r="37" spans="1:28" x14ac:dyDescent="0.15">
      <c r="A37" s="123"/>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row>
    <row r="38" spans="1:28" x14ac:dyDescent="0.15">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row>
    <row r="39" spans="1:28" x14ac:dyDescent="0.15">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row>
    <row r="40" spans="1:28" x14ac:dyDescent="0.15">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row>
    <row r="41" spans="1:28" x14ac:dyDescent="0.15">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row>
    <row r="42" spans="1:28" x14ac:dyDescent="0.15">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row>
    <row r="43" spans="1:28" x14ac:dyDescent="0.15">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row>
    <row r="44" spans="1:28" x14ac:dyDescent="0.15">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row>
    <row r="45" spans="1:28" x14ac:dyDescent="0.15">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row>
    <row r="46" spans="1:28" x14ac:dyDescent="0.15">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row>
    <row r="47" spans="1:28" x14ac:dyDescent="0.15">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row>
    <row r="48" spans="1:28" x14ac:dyDescent="0.15">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row>
    <row r="49" spans="3:28" x14ac:dyDescent="0.15">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row>
    <row r="50" spans="3:28" x14ac:dyDescent="0.15">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row>
    <row r="51" spans="3:28" x14ac:dyDescent="0.15">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row>
    <row r="52" spans="3:28" x14ac:dyDescent="0.15">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row>
    <row r="53" spans="3:28" x14ac:dyDescent="0.15">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row>
    <row r="54" spans="3:28" x14ac:dyDescent="0.15">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row>
    <row r="55" spans="3:28" x14ac:dyDescent="0.15">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row>
    <row r="56" spans="3:28" x14ac:dyDescent="0.15">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row>
    <row r="57" spans="3:28" x14ac:dyDescent="0.15">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workbookViewId="0">
      <selection activeCell="O47" sqref="O47"/>
    </sheetView>
  </sheetViews>
  <sheetFormatPr defaultRowHeight="11.25" x14ac:dyDescent="0.15"/>
  <cols>
    <col min="1" max="1" width="9.140625" style="3"/>
    <col min="2" max="2" width="34.5703125" style="3" bestFit="1" customWidth="1"/>
    <col min="3" max="4" width="9.140625" style="3"/>
    <col min="5" max="5" width="18.7109375" style="3" bestFit="1" customWidth="1"/>
    <col min="6" max="6" width="18.7109375" style="3" customWidth="1"/>
    <col min="7" max="7" width="10.7109375" style="3" bestFit="1" customWidth="1"/>
    <col min="8" max="8" width="5.7109375" style="3" customWidth="1"/>
    <col min="9" max="9" width="3" style="3" customWidth="1"/>
    <col min="10" max="16384" width="9.140625" style="3"/>
  </cols>
  <sheetData>
    <row r="1" spans="1:11" x14ac:dyDescent="0.15">
      <c r="A1" s="3" t="s">
        <v>247</v>
      </c>
      <c r="E1" s="3" t="s">
        <v>248</v>
      </c>
    </row>
    <row r="2" spans="1:11" x14ac:dyDescent="0.15">
      <c r="A2" s="3" t="s">
        <v>249</v>
      </c>
      <c r="B2" s="3" t="s">
        <v>243</v>
      </c>
      <c r="C2" s="3" t="s">
        <v>250</v>
      </c>
      <c r="E2" s="3" t="s">
        <v>249</v>
      </c>
      <c r="F2" s="3" t="s">
        <v>243</v>
      </c>
      <c r="G2" s="3" t="s">
        <v>250</v>
      </c>
      <c r="J2" s="3" t="s">
        <v>249</v>
      </c>
      <c r="K2" s="3" t="s">
        <v>250</v>
      </c>
    </row>
    <row r="3" spans="1:11" x14ac:dyDescent="0.15">
      <c r="A3" s="3">
        <v>2002</v>
      </c>
      <c r="B3" s="3" t="s">
        <v>56</v>
      </c>
      <c r="C3" s="3">
        <v>395467</v>
      </c>
      <c r="E3" s="120" t="s">
        <v>129</v>
      </c>
      <c r="F3" s="3" t="s">
        <v>56</v>
      </c>
      <c r="G3" s="55">
        <f>(C17+C24)/2</f>
        <v>405158.5</v>
      </c>
      <c r="J3" s="3">
        <v>2002</v>
      </c>
      <c r="K3" s="3">
        <v>2341325</v>
      </c>
    </row>
    <row r="4" spans="1:11" x14ac:dyDescent="0.15">
      <c r="A4" s="3">
        <v>2002</v>
      </c>
      <c r="B4" s="3" t="s">
        <v>71</v>
      </c>
      <c r="C4" s="3">
        <v>437571</v>
      </c>
      <c r="E4" s="120" t="s">
        <v>129</v>
      </c>
      <c r="F4" s="3" t="s">
        <v>71</v>
      </c>
      <c r="G4" s="55">
        <f>(C18+C25)/2</f>
        <v>445348.5</v>
      </c>
      <c r="J4" s="3">
        <v>2003</v>
      </c>
      <c r="K4" s="3">
        <v>2360373</v>
      </c>
    </row>
    <row r="5" spans="1:11" x14ac:dyDescent="0.15">
      <c r="A5" s="3">
        <v>2002</v>
      </c>
      <c r="B5" s="3" t="s">
        <v>40</v>
      </c>
      <c r="C5" s="3">
        <v>537441</v>
      </c>
      <c r="E5" s="120" t="s">
        <v>129</v>
      </c>
      <c r="F5" s="3" t="s">
        <v>40</v>
      </c>
      <c r="G5" s="55">
        <f t="shared" ref="G5:G9" si="0">(C19+C26)/2</f>
        <v>545946</v>
      </c>
      <c r="J5" s="3">
        <v>2004</v>
      </c>
      <c r="K5" s="3">
        <v>2384291</v>
      </c>
    </row>
    <row r="6" spans="1:11" x14ac:dyDescent="0.15">
      <c r="A6" s="3">
        <v>2002</v>
      </c>
      <c r="B6" s="3" t="s">
        <v>251</v>
      </c>
      <c r="C6" s="3">
        <v>344674</v>
      </c>
      <c r="E6" s="120" t="s">
        <v>129</v>
      </c>
      <c r="F6" s="3" t="s">
        <v>61</v>
      </c>
      <c r="G6" s="55">
        <f t="shared" si="0"/>
        <v>356485.5</v>
      </c>
      <c r="J6" s="3">
        <v>2005</v>
      </c>
      <c r="K6" s="3">
        <v>2401193</v>
      </c>
    </row>
    <row r="7" spans="1:11" x14ac:dyDescent="0.15">
      <c r="A7" s="3">
        <v>2002</v>
      </c>
      <c r="B7" s="3" t="s">
        <v>66</v>
      </c>
      <c r="C7" s="3">
        <v>228653</v>
      </c>
      <c r="E7" s="120" t="s">
        <v>129</v>
      </c>
      <c r="F7" s="3" t="s">
        <v>66</v>
      </c>
      <c r="G7" s="55">
        <f t="shared" si="0"/>
        <v>232611.5</v>
      </c>
      <c r="J7" s="3">
        <v>2006</v>
      </c>
      <c r="K7" s="3">
        <v>2421036</v>
      </c>
    </row>
    <row r="8" spans="1:11" x14ac:dyDescent="0.15">
      <c r="A8" s="3">
        <v>2002</v>
      </c>
      <c r="B8" s="3" t="s">
        <v>51</v>
      </c>
      <c r="C8" s="3">
        <v>294879</v>
      </c>
      <c r="E8" s="120" t="s">
        <v>129</v>
      </c>
      <c r="F8" s="3" t="s">
        <v>51</v>
      </c>
      <c r="G8" s="55">
        <f t="shared" si="0"/>
        <v>301663.5</v>
      </c>
      <c r="J8" s="3">
        <v>2007</v>
      </c>
      <c r="K8" s="3">
        <v>2445244</v>
      </c>
    </row>
    <row r="9" spans="1:11" x14ac:dyDescent="0.15">
      <c r="A9" s="3">
        <v>2002</v>
      </c>
      <c r="B9" s="3" t="s">
        <v>46</v>
      </c>
      <c r="C9" s="3">
        <v>102640</v>
      </c>
      <c r="E9" s="120" t="s">
        <v>129</v>
      </c>
      <c r="F9" s="3" t="s">
        <v>46</v>
      </c>
      <c r="G9" s="55">
        <f t="shared" si="0"/>
        <v>105528.5</v>
      </c>
      <c r="J9" s="3">
        <v>2008</v>
      </c>
      <c r="K9" s="3">
        <v>2466956</v>
      </c>
    </row>
    <row r="10" spans="1:11" x14ac:dyDescent="0.15">
      <c r="A10" s="3">
        <v>2003</v>
      </c>
      <c r="B10" s="3" t="s">
        <v>56</v>
      </c>
      <c r="C10" s="3">
        <v>399755</v>
      </c>
      <c r="E10" s="120">
        <v>2005</v>
      </c>
      <c r="F10" s="3" t="s">
        <v>35</v>
      </c>
      <c r="G10" s="55">
        <f>K6</f>
        <v>2401193</v>
      </c>
      <c r="J10" s="3">
        <v>2009</v>
      </c>
      <c r="K10" s="3">
        <v>2481907</v>
      </c>
    </row>
    <row r="11" spans="1:11" x14ac:dyDescent="0.15">
      <c r="A11" s="3">
        <v>2003</v>
      </c>
      <c r="B11" s="3" t="s">
        <v>71</v>
      </c>
      <c r="C11" s="3">
        <v>440650</v>
      </c>
      <c r="E11" s="120" t="s">
        <v>131</v>
      </c>
      <c r="F11" s="3" t="s">
        <v>56</v>
      </c>
      <c r="G11" s="55">
        <f>(C24+C31)/2</f>
        <v>408539.5</v>
      </c>
      <c r="J11" s="3">
        <v>2010</v>
      </c>
      <c r="K11" s="3">
        <v>2494980</v>
      </c>
    </row>
    <row r="12" spans="1:11" x14ac:dyDescent="0.15">
      <c r="A12" s="3">
        <v>2003</v>
      </c>
      <c r="B12" s="3" t="s">
        <v>40</v>
      </c>
      <c r="C12" s="3">
        <v>540871</v>
      </c>
      <c r="E12" s="120" t="s">
        <v>131</v>
      </c>
      <c r="F12" s="3" t="s">
        <v>71</v>
      </c>
      <c r="G12" s="55">
        <f t="shared" ref="G12:G17" si="1">(C25+C32)/2</f>
        <v>448678</v>
      </c>
      <c r="J12" s="3">
        <v>2011</v>
      </c>
      <c r="K12" s="3">
        <v>2507917</v>
      </c>
    </row>
    <row r="13" spans="1:11" x14ac:dyDescent="0.15">
      <c r="A13" s="3">
        <v>2003</v>
      </c>
      <c r="B13" s="3" t="s">
        <v>251</v>
      </c>
      <c r="C13" s="3">
        <v>347939</v>
      </c>
      <c r="E13" s="120" t="s">
        <v>131</v>
      </c>
      <c r="F13" s="3" t="s">
        <v>40</v>
      </c>
      <c r="G13" s="55">
        <f>(C26+C33)/2</f>
        <v>548844</v>
      </c>
      <c r="J13" s="3">
        <v>2012</v>
      </c>
      <c r="K13" s="3">
        <v>2517515</v>
      </c>
    </row>
    <row r="14" spans="1:11" x14ac:dyDescent="0.15">
      <c r="A14" s="3">
        <v>2003</v>
      </c>
      <c r="B14" s="3" t="s">
        <v>66</v>
      </c>
      <c r="C14" s="3">
        <v>229894</v>
      </c>
      <c r="E14" s="120" t="s">
        <v>131</v>
      </c>
      <c r="F14" s="3" t="s">
        <v>61</v>
      </c>
      <c r="G14" s="55">
        <f>(C27+C34)/2</f>
        <v>360921.5</v>
      </c>
      <c r="J14" s="3">
        <v>2013</v>
      </c>
      <c r="K14" s="3">
        <v>2527247</v>
      </c>
    </row>
    <row r="15" spans="1:11" x14ac:dyDescent="0.15">
      <c r="A15" s="3">
        <v>2003</v>
      </c>
      <c r="B15" s="3" t="s">
        <v>51</v>
      </c>
      <c r="C15" s="3">
        <v>297501</v>
      </c>
      <c r="E15" s="120" t="s">
        <v>131</v>
      </c>
      <c r="F15" s="3" t="s">
        <v>66</v>
      </c>
      <c r="G15" s="55">
        <f t="shared" si="1"/>
        <v>233819</v>
      </c>
      <c r="J15" s="3">
        <v>2014</v>
      </c>
      <c r="K15" s="3">
        <v>2537195</v>
      </c>
    </row>
    <row r="16" spans="1:11" x14ac:dyDescent="0.15">
      <c r="A16" s="3">
        <v>2003</v>
      </c>
      <c r="B16" s="3" t="s">
        <v>46</v>
      </c>
      <c r="C16" s="3">
        <v>103763</v>
      </c>
      <c r="E16" s="120" t="s">
        <v>131</v>
      </c>
      <c r="F16" s="3" t="s">
        <v>51</v>
      </c>
      <c r="G16" s="55">
        <f t="shared" si="1"/>
        <v>303901</v>
      </c>
      <c r="J16" s="3">
        <v>2015</v>
      </c>
      <c r="K16" s="3">
        <v>2543797</v>
      </c>
    </row>
    <row r="17" spans="1:11" x14ac:dyDescent="0.15">
      <c r="A17" s="3">
        <v>2004</v>
      </c>
      <c r="B17" s="3" t="s">
        <v>56</v>
      </c>
      <c r="C17" s="3">
        <v>403623</v>
      </c>
      <c r="E17" s="120" t="s">
        <v>131</v>
      </c>
      <c r="F17" s="3" t="s">
        <v>46</v>
      </c>
      <c r="G17" s="55">
        <f t="shared" si="1"/>
        <v>106411.5</v>
      </c>
      <c r="J17" s="1">
        <v>2016</v>
      </c>
      <c r="K17" s="1">
        <v>2556071</v>
      </c>
    </row>
    <row r="18" spans="1:11" x14ac:dyDescent="0.15">
      <c r="A18" s="3">
        <v>2004</v>
      </c>
      <c r="B18" s="3" t="s">
        <v>71</v>
      </c>
      <c r="C18" s="3">
        <v>443932</v>
      </c>
      <c r="E18" s="120">
        <v>2006</v>
      </c>
      <c r="F18" s="3" t="s">
        <v>35</v>
      </c>
      <c r="G18" s="55">
        <f>K7</f>
        <v>2421036</v>
      </c>
    </row>
    <row r="19" spans="1:11" x14ac:dyDescent="0.15">
      <c r="A19" s="3">
        <v>2004</v>
      </c>
      <c r="B19" s="3" t="s">
        <v>40</v>
      </c>
      <c r="C19" s="3">
        <v>544892</v>
      </c>
      <c r="E19" s="120" t="s">
        <v>132</v>
      </c>
      <c r="F19" s="3" t="s">
        <v>56</v>
      </c>
      <c r="G19" s="55">
        <f>(C31+C38)/2</f>
        <v>412545.5</v>
      </c>
    </row>
    <row r="20" spans="1:11" x14ac:dyDescent="0.15">
      <c r="A20" s="3">
        <v>2004</v>
      </c>
      <c r="B20" s="3" t="s">
        <v>251</v>
      </c>
      <c r="C20" s="3">
        <v>353824</v>
      </c>
      <c r="E20" s="120" t="s">
        <v>132</v>
      </c>
      <c r="F20" s="3" t="s">
        <v>71</v>
      </c>
      <c r="G20" s="55">
        <f t="shared" ref="G20:G23" si="2">(C32+C39)/2</f>
        <v>452600</v>
      </c>
    </row>
    <row r="21" spans="1:11" x14ac:dyDescent="0.15">
      <c r="A21" s="3">
        <v>2004</v>
      </c>
      <c r="B21" s="3" t="s">
        <v>66</v>
      </c>
      <c r="C21" s="3">
        <v>232152</v>
      </c>
      <c r="E21" s="120" t="s">
        <v>132</v>
      </c>
      <c r="F21" s="3" t="s">
        <v>40</v>
      </c>
      <c r="G21" s="55">
        <f>(C33+C40)/2</f>
        <v>552953.5</v>
      </c>
    </row>
    <row r="22" spans="1:11" x14ac:dyDescent="0.15">
      <c r="A22" s="3">
        <v>2004</v>
      </c>
      <c r="B22" s="3" t="s">
        <v>51</v>
      </c>
      <c r="C22" s="3">
        <v>300740</v>
      </c>
      <c r="E22" s="120" t="s">
        <v>132</v>
      </c>
      <c r="F22" s="3" t="s">
        <v>61</v>
      </c>
      <c r="G22" s="55">
        <f t="shared" si="2"/>
        <v>365345</v>
      </c>
    </row>
    <row r="23" spans="1:11" x14ac:dyDescent="0.15">
      <c r="A23" s="3">
        <v>2004</v>
      </c>
      <c r="B23" s="3" t="s">
        <v>46</v>
      </c>
      <c r="C23" s="3">
        <v>105128</v>
      </c>
      <c r="E23" s="120" t="s">
        <v>132</v>
      </c>
      <c r="F23" s="3" t="s">
        <v>66</v>
      </c>
      <c r="G23" s="55">
        <f t="shared" si="2"/>
        <v>235192</v>
      </c>
    </row>
    <row r="24" spans="1:11" x14ac:dyDescent="0.15">
      <c r="A24" s="3">
        <v>2005</v>
      </c>
      <c r="B24" s="3" t="s">
        <v>56</v>
      </c>
      <c r="C24" s="3">
        <v>406694</v>
      </c>
      <c r="E24" s="120" t="s">
        <v>132</v>
      </c>
      <c r="F24" s="3" t="s">
        <v>51</v>
      </c>
      <c r="G24" s="55">
        <f>(C36+C43)/2</f>
        <v>306960</v>
      </c>
    </row>
    <row r="25" spans="1:11" x14ac:dyDescent="0.15">
      <c r="A25" s="3">
        <v>2005</v>
      </c>
      <c r="B25" s="3" t="s">
        <v>71</v>
      </c>
      <c r="C25" s="3">
        <v>446765</v>
      </c>
      <c r="E25" s="120" t="s">
        <v>132</v>
      </c>
      <c r="F25" s="3" t="s">
        <v>46</v>
      </c>
      <c r="G25" s="55">
        <f>(C37+C44)/2</f>
        <v>107544</v>
      </c>
    </row>
    <row r="26" spans="1:11" x14ac:dyDescent="0.15">
      <c r="A26" s="3">
        <v>2005</v>
      </c>
      <c r="B26" s="3" t="s">
        <v>40</v>
      </c>
      <c r="C26" s="3">
        <v>547000</v>
      </c>
      <c r="E26" s="120">
        <v>2007</v>
      </c>
      <c r="F26" s="3" t="s">
        <v>35</v>
      </c>
      <c r="G26" s="55">
        <f>K8</f>
        <v>2445244</v>
      </c>
    </row>
    <row r="27" spans="1:11" x14ac:dyDescent="0.15">
      <c r="A27" s="3">
        <v>2005</v>
      </c>
      <c r="B27" s="3" t="s">
        <v>251</v>
      </c>
      <c r="C27" s="3">
        <v>359147</v>
      </c>
      <c r="E27" s="120" t="s">
        <v>133</v>
      </c>
      <c r="F27" s="3" t="s">
        <v>56</v>
      </c>
      <c r="G27" s="55">
        <f>(C45+C38)/2</f>
        <v>416571</v>
      </c>
    </row>
    <row r="28" spans="1:11" x14ac:dyDescent="0.15">
      <c r="A28" s="3">
        <v>2005</v>
      </c>
      <c r="B28" s="3" t="s">
        <v>66</v>
      </c>
      <c r="C28" s="3">
        <v>233071</v>
      </c>
      <c r="E28" s="120" t="s">
        <v>133</v>
      </c>
      <c r="F28" s="3" t="s">
        <v>71</v>
      </c>
      <c r="G28" s="55">
        <f t="shared" ref="G28:G33" si="3">(C46+C39)/2</f>
        <v>456608</v>
      </c>
    </row>
    <row r="29" spans="1:11" x14ac:dyDescent="0.15">
      <c r="A29" s="3">
        <v>2005</v>
      </c>
      <c r="B29" s="3" t="s">
        <v>51</v>
      </c>
      <c r="C29" s="3">
        <v>302587</v>
      </c>
      <c r="E29" s="120" t="s">
        <v>133</v>
      </c>
      <c r="F29" s="3" t="s">
        <v>40</v>
      </c>
      <c r="G29" s="55">
        <f t="shared" si="3"/>
        <v>557137.5</v>
      </c>
    </row>
    <row r="30" spans="1:11" x14ac:dyDescent="0.15">
      <c r="A30" s="3">
        <v>2005</v>
      </c>
      <c r="B30" s="3" t="s">
        <v>46</v>
      </c>
      <c r="C30" s="3">
        <v>105929</v>
      </c>
      <c r="E30" s="120" t="s">
        <v>133</v>
      </c>
      <c r="F30" s="3" t="s">
        <v>61</v>
      </c>
      <c r="G30" s="55">
        <f t="shared" si="3"/>
        <v>370665</v>
      </c>
    </row>
    <row r="31" spans="1:11" x14ac:dyDescent="0.15">
      <c r="A31" s="3">
        <v>2006</v>
      </c>
      <c r="B31" s="3" t="s">
        <v>56</v>
      </c>
      <c r="C31" s="3">
        <v>410385</v>
      </c>
      <c r="E31" s="120" t="s">
        <v>133</v>
      </c>
      <c r="F31" s="3" t="s">
        <v>66</v>
      </c>
      <c r="G31" s="55">
        <f t="shared" si="3"/>
        <v>236276</v>
      </c>
    </row>
    <row r="32" spans="1:11" x14ac:dyDescent="0.15">
      <c r="A32" s="3">
        <v>2006</v>
      </c>
      <c r="B32" s="3" t="s">
        <v>71</v>
      </c>
      <c r="C32" s="3">
        <v>450591</v>
      </c>
      <c r="E32" s="120" t="s">
        <v>133</v>
      </c>
      <c r="F32" s="3" t="s">
        <v>51</v>
      </c>
      <c r="G32" s="55">
        <f t="shared" si="3"/>
        <v>310116</v>
      </c>
    </row>
    <row r="33" spans="1:7" x14ac:dyDescent="0.15">
      <c r="A33" s="3">
        <v>2006</v>
      </c>
      <c r="B33" s="3" t="s">
        <v>40</v>
      </c>
      <c r="C33" s="3">
        <v>550688</v>
      </c>
      <c r="E33" s="120" t="s">
        <v>133</v>
      </c>
      <c r="F33" s="3" t="s">
        <v>46</v>
      </c>
      <c r="G33" s="55">
        <f t="shared" si="3"/>
        <v>108726.5</v>
      </c>
    </row>
    <row r="34" spans="1:7" x14ac:dyDescent="0.15">
      <c r="A34" s="3">
        <v>2006</v>
      </c>
      <c r="B34" s="3" t="s">
        <v>251</v>
      </c>
      <c r="C34" s="3">
        <v>362696</v>
      </c>
      <c r="E34" s="120">
        <v>2008</v>
      </c>
      <c r="F34" s="3" t="s">
        <v>35</v>
      </c>
      <c r="G34" s="55">
        <f>K9</f>
        <v>2466956</v>
      </c>
    </row>
    <row r="35" spans="1:7" x14ac:dyDescent="0.15">
      <c r="A35" s="3">
        <v>2006</v>
      </c>
      <c r="B35" s="3" t="s">
        <v>66</v>
      </c>
      <c r="C35" s="3">
        <v>234567</v>
      </c>
      <c r="E35" s="120" t="s">
        <v>134</v>
      </c>
      <c r="F35" s="3" t="s">
        <v>56</v>
      </c>
      <c r="G35" s="55">
        <f t="shared" ref="G35:G41" si="4">(C52+C45)/2</f>
        <v>419672</v>
      </c>
    </row>
    <row r="36" spans="1:7" x14ac:dyDescent="0.15">
      <c r="A36" s="3">
        <v>2006</v>
      </c>
      <c r="B36" s="3" t="s">
        <v>51</v>
      </c>
      <c r="C36" s="3">
        <v>305215</v>
      </c>
      <c r="E36" s="120" t="s">
        <v>134</v>
      </c>
      <c r="F36" s="3" t="s">
        <v>71</v>
      </c>
      <c r="G36" s="55">
        <f t="shared" si="4"/>
        <v>460135.5</v>
      </c>
    </row>
    <row r="37" spans="1:7" x14ac:dyDescent="0.15">
      <c r="A37" s="3">
        <v>2006</v>
      </c>
      <c r="B37" s="3" t="s">
        <v>46</v>
      </c>
      <c r="C37" s="3">
        <v>106894</v>
      </c>
      <c r="E37" s="120" t="s">
        <v>134</v>
      </c>
      <c r="F37" s="3" t="s">
        <v>40</v>
      </c>
      <c r="G37" s="55">
        <f t="shared" si="4"/>
        <v>560164</v>
      </c>
    </row>
    <row r="38" spans="1:7" x14ac:dyDescent="0.15">
      <c r="A38" s="3">
        <v>2007</v>
      </c>
      <c r="B38" s="3" t="s">
        <v>56</v>
      </c>
      <c r="C38" s="3">
        <v>414706</v>
      </c>
      <c r="E38" s="120" t="s">
        <v>134</v>
      </c>
      <c r="F38" s="3" t="s">
        <v>61</v>
      </c>
      <c r="G38" s="55">
        <f t="shared" si="4"/>
        <v>375828.5</v>
      </c>
    </row>
    <row r="39" spans="1:7" x14ac:dyDescent="0.15">
      <c r="A39" s="3">
        <v>2007</v>
      </c>
      <c r="B39" s="3" t="s">
        <v>71</v>
      </c>
      <c r="C39" s="3">
        <v>454609</v>
      </c>
      <c r="E39" s="120" t="s">
        <v>134</v>
      </c>
      <c r="F39" s="3" t="s">
        <v>66</v>
      </c>
      <c r="G39" s="55">
        <f t="shared" si="4"/>
        <v>237059.5</v>
      </c>
    </row>
    <row r="40" spans="1:7" x14ac:dyDescent="0.15">
      <c r="A40" s="3">
        <v>2007</v>
      </c>
      <c r="B40" s="3" t="s">
        <v>40</v>
      </c>
      <c r="C40" s="3">
        <v>555219</v>
      </c>
      <c r="E40" s="120" t="s">
        <v>134</v>
      </c>
      <c r="F40" s="3" t="s">
        <v>51</v>
      </c>
      <c r="G40" s="55">
        <f t="shared" si="4"/>
        <v>312052</v>
      </c>
    </row>
    <row r="41" spans="1:7" x14ac:dyDescent="0.15">
      <c r="A41" s="3">
        <v>2007</v>
      </c>
      <c r="B41" s="3" t="s">
        <v>251</v>
      </c>
      <c r="C41" s="3">
        <v>367994</v>
      </c>
      <c r="E41" s="120" t="s">
        <v>134</v>
      </c>
      <c r="F41" s="3" t="s">
        <v>46</v>
      </c>
      <c r="G41" s="55">
        <f t="shared" si="4"/>
        <v>109520</v>
      </c>
    </row>
    <row r="42" spans="1:7" x14ac:dyDescent="0.15">
      <c r="A42" s="3">
        <v>2007</v>
      </c>
      <c r="B42" s="3" t="s">
        <v>66</v>
      </c>
      <c r="C42" s="3">
        <v>235817</v>
      </c>
      <c r="E42" s="120">
        <v>2009</v>
      </c>
      <c r="F42" s="3" t="s">
        <v>35</v>
      </c>
      <c r="G42" s="55">
        <f>K10</f>
        <v>2481907</v>
      </c>
    </row>
    <row r="43" spans="1:7" x14ac:dyDescent="0.15">
      <c r="A43" s="3">
        <v>2007</v>
      </c>
      <c r="B43" s="3" t="s">
        <v>51</v>
      </c>
      <c r="C43" s="3">
        <v>308705</v>
      </c>
      <c r="E43" s="120" t="s">
        <v>135</v>
      </c>
      <c r="F43" s="3" t="s">
        <v>56</v>
      </c>
      <c r="G43" s="55">
        <f t="shared" ref="G43:G49" si="5">(C59+C52)/2</f>
        <v>422443.5</v>
      </c>
    </row>
    <row r="44" spans="1:7" x14ac:dyDescent="0.15">
      <c r="A44" s="3">
        <v>2007</v>
      </c>
      <c r="B44" s="3" t="s">
        <v>46</v>
      </c>
      <c r="C44" s="3">
        <v>108194</v>
      </c>
      <c r="E44" s="120" t="s">
        <v>135</v>
      </c>
      <c r="F44" s="3" t="s">
        <v>71</v>
      </c>
      <c r="G44" s="55">
        <f t="shared" si="5"/>
        <v>463041.5</v>
      </c>
    </row>
    <row r="45" spans="1:7" x14ac:dyDescent="0.15">
      <c r="A45" s="3">
        <v>2008</v>
      </c>
      <c r="B45" s="3" t="s">
        <v>56</v>
      </c>
      <c r="C45" s="3">
        <v>418436</v>
      </c>
      <c r="E45" s="120" t="s">
        <v>135</v>
      </c>
      <c r="F45" s="3" t="s">
        <v>40</v>
      </c>
      <c r="G45" s="55">
        <f t="shared" si="5"/>
        <v>562064</v>
      </c>
    </row>
    <row r="46" spans="1:7" x14ac:dyDescent="0.15">
      <c r="A46" s="3">
        <v>2008</v>
      </c>
      <c r="B46" s="3" t="s">
        <v>71</v>
      </c>
      <c r="C46" s="3">
        <v>458607</v>
      </c>
      <c r="E46" s="120" t="s">
        <v>135</v>
      </c>
      <c r="F46" s="3" t="s">
        <v>61</v>
      </c>
      <c r="G46" s="55">
        <f t="shared" si="5"/>
        <v>380043.5</v>
      </c>
    </row>
    <row r="47" spans="1:7" x14ac:dyDescent="0.15">
      <c r="A47" s="3">
        <v>2008</v>
      </c>
      <c r="B47" s="3" t="s">
        <v>40</v>
      </c>
      <c r="C47" s="3">
        <v>559056</v>
      </c>
      <c r="E47" s="120" t="s">
        <v>135</v>
      </c>
      <c r="F47" s="3" t="s">
        <v>66</v>
      </c>
      <c r="G47" s="55">
        <f t="shared" si="5"/>
        <v>237578</v>
      </c>
    </row>
    <row r="48" spans="1:7" x14ac:dyDescent="0.15">
      <c r="A48" s="3">
        <v>2008</v>
      </c>
      <c r="B48" s="3" t="s">
        <v>251</v>
      </c>
      <c r="C48" s="3">
        <v>373336</v>
      </c>
      <c r="E48" s="120" t="s">
        <v>135</v>
      </c>
      <c r="F48" s="3" t="s">
        <v>51</v>
      </c>
      <c r="G48" s="55">
        <f t="shared" si="5"/>
        <v>313405</v>
      </c>
    </row>
    <row r="49" spans="1:7" x14ac:dyDescent="0.15">
      <c r="A49" s="3">
        <v>2008</v>
      </c>
      <c r="B49" s="3" t="s">
        <v>66</v>
      </c>
      <c r="C49" s="3">
        <v>236735</v>
      </c>
      <c r="E49" s="120" t="s">
        <v>135</v>
      </c>
      <c r="F49" s="3" t="s">
        <v>46</v>
      </c>
      <c r="G49" s="55">
        <f t="shared" si="5"/>
        <v>109868</v>
      </c>
    </row>
    <row r="50" spans="1:7" x14ac:dyDescent="0.15">
      <c r="A50" s="3">
        <v>2008</v>
      </c>
      <c r="B50" s="3" t="s">
        <v>51</v>
      </c>
      <c r="C50" s="3">
        <v>311527</v>
      </c>
      <c r="E50" s="120">
        <v>2010</v>
      </c>
      <c r="F50" s="3" t="s">
        <v>35</v>
      </c>
      <c r="G50" s="55">
        <f>K11</f>
        <v>2494980</v>
      </c>
    </row>
    <row r="51" spans="1:7" x14ac:dyDescent="0.15">
      <c r="A51" s="3">
        <v>2008</v>
      </c>
      <c r="B51" s="3" t="s">
        <v>46</v>
      </c>
      <c r="C51" s="3">
        <v>109259</v>
      </c>
      <c r="E51" s="120" t="s">
        <v>136</v>
      </c>
      <c r="F51" s="3" t="s">
        <v>56</v>
      </c>
      <c r="G51" s="55">
        <f t="shared" ref="G51:G57" si="6">(C66+C59)/2</f>
        <v>425303</v>
      </c>
    </row>
    <row r="52" spans="1:7" x14ac:dyDescent="0.15">
      <c r="A52" s="3">
        <v>2009</v>
      </c>
      <c r="B52" s="3" t="s">
        <v>56</v>
      </c>
      <c r="C52" s="3">
        <v>420908</v>
      </c>
      <c r="E52" s="120" t="s">
        <v>136</v>
      </c>
      <c r="F52" s="3" t="s">
        <v>71</v>
      </c>
      <c r="G52" s="55">
        <f t="shared" si="6"/>
        <v>465687</v>
      </c>
    </row>
    <row r="53" spans="1:7" x14ac:dyDescent="0.15">
      <c r="A53" s="3">
        <v>2009</v>
      </c>
      <c r="B53" s="3" t="s">
        <v>71</v>
      </c>
      <c r="C53" s="3">
        <v>461664</v>
      </c>
      <c r="E53" s="120" t="s">
        <v>136</v>
      </c>
      <c r="F53" s="3" t="s">
        <v>40</v>
      </c>
      <c r="G53" s="55">
        <f t="shared" si="6"/>
        <v>564003</v>
      </c>
    </row>
    <row r="54" spans="1:7" x14ac:dyDescent="0.15">
      <c r="A54" s="3">
        <v>2009</v>
      </c>
      <c r="B54" s="3" t="s">
        <v>40</v>
      </c>
      <c r="C54" s="3">
        <v>561272</v>
      </c>
      <c r="E54" s="120" t="s">
        <v>136</v>
      </c>
      <c r="F54" s="3" t="s">
        <v>61</v>
      </c>
      <c r="G54" s="55">
        <f t="shared" si="6"/>
        <v>383518.5</v>
      </c>
    </row>
    <row r="55" spans="1:7" x14ac:dyDescent="0.15">
      <c r="A55" s="3">
        <v>2009</v>
      </c>
      <c r="B55" s="3" t="s">
        <v>251</v>
      </c>
      <c r="C55" s="3">
        <v>378321</v>
      </c>
      <c r="E55" s="120" t="s">
        <v>136</v>
      </c>
      <c r="F55" s="3" t="s">
        <v>66</v>
      </c>
      <c r="G55" s="55">
        <f t="shared" si="6"/>
        <v>237851</v>
      </c>
    </row>
    <row r="56" spans="1:7" x14ac:dyDescent="0.15">
      <c r="A56" s="3">
        <v>2009</v>
      </c>
      <c r="B56" s="3" t="s">
        <v>66</v>
      </c>
      <c r="C56" s="3">
        <v>237384</v>
      </c>
      <c r="E56" s="120" t="s">
        <v>136</v>
      </c>
      <c r="F56" s="3" t="s">
        <v>51</v>
      </c>
      <c r="G56" s="55">
        <f t="shared" si="6"/>
        <v>314953.5</v>
      </c>
    </row>
    <row r="57" spans="1:7" x14ac:dyDescent="0.15">
      <c r="A57" s="3">
        <v>2009</v>
      </c>
      <c r="B57" s="3" t="s">
        <v>51</v>
      </c>
      <c r="C57" s="3">
        <v>312577</v>
      </c>
      <c r="E57" s="120" t="s">
        <v>136</v>
      </c>
      <c r="F57" s="3" t="s">
        <v>46</v>
      </c>
      <c r="G57" s="55">
        <f t="shared" si="6"/>
        <v>110132.5</v>
      </c>
    </row>
    <row r="58" spans="1:7" x14ac:dyDescent="0.15">
      <c r="A58" s="3">
        <v>2009</v>
      </c>
      <c r="B58" s="3" t="s">
        <v>46</v>
      </c>
      <c r="C58" s="3">
        <v>109781</v>
      </c>
      <c r="E58" s="120">
        <v>2011</v>
      </c>
      <c r="F58" s="3" t="s">
        <v>35</v>
      </c>
      <c r="G58" s="55">
        <f>K12</f>
        <v>2507917</v>
      </c>
    </row>
    <row r="59" spans="1:7" x14ac:dyDescent="0.15">
      <c r="A59" s="3">
        <v>2010</v>
      </c>
      <c r="B59" s="3" t="s">
        <v>56</v>
      </c>
      <c r="C59" s="3">
        <v>423979</v>
      </c>
      <c r="E59" s="120" t="s">
        <v>137</v>
      </c>
      <c r="F59" s="3" t="s">
        <v>56</v>
      </c>
      <c r="G59" s="55">
        <f t="shared" ref="G59:G65" si="7">(C73+C66)/2</f>
        <v>427245.5</v>
      </c>
    </row>
    <row r="60" spans="1:7" x14ac:dyDescent="0.15">
      <c r="A60" s="3">
        <v>2010</v>
      </c>
      <c r="B60" s="3" t="s">
        <v>71</v>
      </c>
      <c r="C60" s="3">
        <v>464419</v>
      </c>
      <c r="E60" s="120" t="s">
        <v>137</v>
      </c>
      <c r="F60" s="3" t="s">
        <v>71</v>
      </c>
      <c r="G60" s="55">
        <f t="shared" si="7"/>
        <v>467618</v>
      </c>
    </row>
    <row r="61" spans="1:7" x14ac:dyDescent="0.15">
      <c r="A61" s="3">
        <v>2010</v>
      </c>
      <c r="B61" s="3" t="s">
        <v>40</v>
      </c>
      <c r="C61" s="3">
        <v>562856</v>
      </c>
      <c r="E61" s="120" t="s">
        <v>137</v>
      </c>
      <c r="F61" s="3" t="s">
        <v>40</v>
      </c>
      <c r="G61" s="55">
        <f t="shared" si="7"/>
        <v>565950</v>
      </c>
    </row>
    <row r="62" spans="1:7" x14ac:dyDescent="0.15">
      <c r="A62" s="3">
        <v>2010</v>
      </c>
      <c r="B62" s="3" t="s">
        <v>251</v>
      </c>
      <c r="C62" s="3">
        <v>381766</v>
      </c>
      <c r="E62" s="120" t="s">
        <v>137</v>
      </c>
      <c r="F62" s="3" t="s">
        <v>61</v>
      </c>
      <c r="G62" s="55">
        <f t="shared" si="7"/>
        <v>386450</v>
      </c>
    </row>
    <row r="63" spans="1:7" x14ac:dyDescent="0.15">
      <c r="A63" s="3">
        <v>2010</v>
      </c>
      <c r="B63" s="3" t="s">
        <v>66</v>
      </c>
      <c r="C63" s="3">
        <v>237772</v>
      </c>
      <c r="E63" s="120" t="s">
        <v>137</v>
      </c>
      <c r="F63" s="3" t="s">
        <v>66</v>
      </c>
      <c r="G63" s="55">
        <f t="shared" si="7"/>
        <v>238521</v>
      </c>
    </row>
    <row r="64" spans="1:7" x14ac:dyDescent="0.15">
      <c r="A64" s="3">
        <v>2010</v>
      </c>
      <c r="B64" s="3" t="s">
        <v>51</v>
      </c>
      <c r="C64" s="3">
        <v>314233</v>
      </c>
      <c r="E64" s="120" t="s">
        <v>137</v>
      </c>
      <c r="F64" s="3" t="s">
        <v>51</v>
      </c>
      <c r="G64" s="55">
        <f t="shared" si="7"/>
        <v>316500.5</v>
      </c>
    </row>
    <row r="65" spans="1:7" x14ac:dyDescent="0.15">
      <c r="A65" s="3">
        <v>2010</v>
      </c>
      <c r="B65" s="3" t="s">
        <v>46</v>
      </c>
      <c r="C65" s="3">
        <v>109955</v>
      </c>
      <c r="E65" s="120" t="s">
        <v>137</v>
      </c>
      <c r="F65" s="3" t="s">
        <v>46</v>
      </c>
      <c r="G65" s="55">
        <f t="shared" si="7"/>
        <v>110431</v>
      </c>
    </row>
    <row r="66" spans="1:7" x14ac:dyDescent="0.15">
      <c r="A66" s="3">
        <v>2011</v>
      </c>
      <c r="B66" s="3" t="s">
        <v>56</v>
      </c>
      <c r="C66" s="3">
        <v>426627</v>
      </c>
      <c r="E66" s="120">
        <v>2012</v>
      </c>
      <c r="F66" s="3" t="s">
        <v>35</v>
      </c>
      <c r="G66" s="55">
        <f>K13</f>
        <v>2517515</v>
      </c>
    </row>
    <row r="67" spans="1:7" x14ac:dyDescent="0.15">
      <c r="A67" s="3">
        <v>2011</v>
      </c>
      <c r="B67" s="3" t="s">
        <v>71</v>
      </c>
      <c r="C67" s="3">
        <v>466955</v>
      </c>
      <c r="E67" s="120" t="s">
        <v>138</v>
      </c>
      <c r="F67" s="3" t="s">
        <v>56</v>
      </c>
      <c r="G67" s="55">
        <f t="shared" ref="G67:G73" si="8">(C80+C73)/2</f>
        <v>428561.5</v>
      </c>
    </row>
    <row r="68" spans="1:7" x14ac:dyDescent="0.15">
      <c r="A68" s="3">
        <v>2011</v>
      </c>
      <c r="B68" s="3" t="s">
        <v>40</v>
      </c>
      <c r="C68" s="3">
        <v>565150</v>
      </c>
      <c r="E68" s="120" t="s">
        <v>138</v>
      </c>
      <c r="F68" s="3" t="s">
        <v>71</v>
      </c>
      <c r="G68" s="55">
        <f t="shared" si="8"/>
        <v>469279</v>
      </c>
    </row>
    <row r="69" spans="1:7" x14ac:dyDescent="0.15">
      <c r="A69" s="3">
        <v>2011</v>
      </c>
      <c r="B69" s="3" t="s">
        <v>251</v>
      </c>
      <c r="C69" s="3">
        <v>385271</v>
      </c>
      <c r="E69" s="120" t="s">
        <v>138</v>
      </c>
      <c r="F69" s="3" t="s">
        <v>40</v>
      </c>
      <c r="G69" s="55">
        <f t="shared" si="8"/>
        <v>567572.5</v>
      </c>
    </row>
    <row r="70" spans="1:7" x14ac:dyDescent="0.15">
      <c r="A70" s="3">
        <v>2011</v>
      </c>
      <c r="B70" s="3" t="s">
        <v>66</v>
      </c>
      <c r="C70" s="3">
        <v>237930</v>
      </c>
      <c r="E70" s="120" t="s">
        <v>138</v>
      </c>
      <c r="F70" s="3" t="s">
        <v>61</v>
      </c>
      <c r="G70" s="55">
        <f t="shared" si="8"/>
        <v>389051.5</v>
      </c>
    </row>
    <row r="71" spans="1:7" x14ac:dyDescent="0.15">
      <c r="A71" s="3">
        <v>2011</v>
      </c>
      <c r="B71" s="3" t="s">
        <v>51</v>
      </c>
      <c r="C71" s="3">
        <v>315674</v>
      </c>
      <c r="E71" s="120" t="s">
        <v>138</v>
      </c>
      <c r="F71" s="3" t="s">
        <v>66</v>
      </c>
      <c r="G71" s="55">
        <f t="shared" si="8"/>
        <v>239521.5</v>
      </c>
    </row>
    <row r="72" spans="1:7" x14ac:dyDescent="0.15">
      <c r="A72" s="3">
        <v>2011</v>
      </c>
      <c r="B72" s="3" t="s">
        <v>46</v>
      </c>
      <c r="C72" s="3">
        <v>110310</v>
      </c>
      <c r="E72" s="120" t="s">
        <v>138</v>
      </c>
      <c r="F72" s="3" t="s">
        <v>51</v>
      </c>
      <c r="G72" s="55">
        <f t="shared" si="8"/>
        <v>317817.5</v>
      </c>
    </row>
    <row r="73" spans="1:7" x14ac:dyDescent="0.15">
      <c r="A73" s="3">
        <v>2012</v>
      </c>
      <c r="B73" s="3" t="s">
        <v>56</v>
      </c>
      <c r="C73" s="3">
        <v>427864</v>
      </c>
      <c r="E73" s="120" t="s">
        <v>138</v>
      </c>
      <c r="F73" s="3" t="s">
        <v>46</v>
      </c>
      <c r="G73" s="55">
        <f t="shared" si="8"/>
        <v>110577.5</v>
      </c>
    </row>
    <row r="74" spans="1:7" x14ac:dyDescent="0.15">
      <c r="A74" s="3">
        <v>2012</v>
      </c>
      <c r="B74" s="3" t="s">
        <v>71</v>
      </c>
      <c r="C74" s="3">
        <v>468281</v>
      </c>
      <c r="E74" s="120">
        <v>2013</v>
      </c>
      <c r="F74" s="3" t="s">
        <v>35</v>
      </c>
      <c r="G74" s="55">
        <f>K14</f>
        <v>2527247</v>
      </c>
    </row>
    <row r="75" spans="1:7" x14ac:dyDescent="0.15">
      <c r="A75" s="3">
        <v>2012</v>
      </c>
      <c r="B75" s="3" t="s">
        <v>40</v>
      </c>
      <c r="C75" s="3">
        <v>566750</v>
      </c>
      <c r="E75" s="120" t="s">
        <v>139</v>
      </c>
      <c r="F75" s="3" t="s">
        <v>56</v>
      </c>
      <c r="G75" s="55">
        <f t="shared" ref="G75:G81" si="9">(C87+C80)/2</f>
        <v>430391.5</v>
      </c>
    </row>
    <row r="76" spans="1:7" x14ac:dyDescent="0.15">
      <c r="A76" s="3">
        <v>2012</v>
      </c>
      <c r="B76" s="3" t="s">
        <v>251</v>
      </c>
      <c r="C76" s="3">
        <v>387629</v>
      </c>
      <c r="E76" s="120" t="s">
        <v>139</v>
      </c>
      <c r="F76" s="3" t="s">
        <v>71</v>
      </c>
      <c r="G76" s="55">
        <f t="shared" si="9"/>
        <v>471190.5</v>
      </c>
    </row>
    <row r="77" spans="1:7" x14ac:dyDescent="0.15">
      <c r="A77" s="3">
        <v>2012</v>
      </c>
      <c r="B77" s="3" t="s">
        <v>66</v>
      </c>
      <c r="C77" s="3">
        <v>239112</v>
      </c>
      <c r="E77" s="120" t="s">
        <v>139</v>
      </c>
      <c r="F77" s="3" t="s">
        <v>40</v>
      </c>
      <c r="G77" s="55">
        <f t="shared" si="9"/>
        <v>569333.5</v>
      </c>
    </row>
    <row r="78" spans="1:7" x14ac:dyDescent="0.15">
      <c r="A78" s="3">
        <v>2012</v>
      </c>
      <c r="B78" s="3" t="s">
        <v>51</v>
      </c>
      <c r="C78" s="3">
        <v>317327</v>
      </c>
      <c r="E78" s="120" t="s">
        <v>139</v>
      </c>
      <c r="F78" s="3" t="s">
        <v>61</v>
      </c>
      <c r="G78" s="55">
        <f t="shared" si="9"/>
        <v>391764</v>
      </c>
    </row>
    <row r="79" spans="1:7" x14ac:dyDescent="0.15">
      <c r="A79" s="3">
        <v>2012</v>
      </c>
      <c r="B79" s="3" t="s">
        <v>46</v>
      </c>
      <c r="C79" s="3">
        <v>110552</v>
      </c>
      <c r="E79" s="120" t="s">
        <v>139</v>
      </c>
      <c r="F79" s="3" t="s">
        <v>66</v>
      </c>
      <c r="G79" s="55">
        <f t="shared" si="9"/>
        <v>240336</v>
      </c>
    </row>
    <row r="80" spans="1:7" x14ac:dyDescent="0.15">
      <c r="A80" s="3">
        <v>2013</v>
      </c>
      <c r="B80" s="3" t="s">
        <v>56</v>
      </c>
      <c r="C80" s="3">
        <v>429259</v>
      </c>
      <c r="E80" s="120" t="s">
        <v>139</v>
      </c>
      <c r="F80" s="3" t="s">
        <v>51</v>
      </c>
      <c r="G80" s="55">
        <f t="shared" si="9"/>
        <v>318523.5</v>
      </c>
    </row>
    <row r="81" spans="1:7" x14ac:dyDescent="0.15">
      <c r="A81" s="3">
        <v>2013</v>
      </c>
      <c r="B81" s="3" t="s">
        <v>71</v>
      </c>
      <c r="C81" s="3">
        <v>470277</v>
      </c>
      <c r="E81" s="120" t="s">
        <v>139</v>
      </c>
      <c r="F81" s="3" t="s">
        <v>46</v>
      </c>
      <c r="G81" s="55">
        <f t="shared" si="9"/>
        <v>110682</v>
      </c>
    </row>
    <row r="82" spans="1:7" x14ac:dyDescent="0.15">
      <c r="A82" s="3">
        <v>2013</v>
      </c>
      <c r="B82" s="3" t="s">
        <v>40</v>
      </c>
      <c r="C82" s="3">
        <v>568395</v>
      </c>
      <c r="E82" s="120">
        <v>2014</v>
      </c>
      <c r="F82" s="3" t="s">
        <v>35</v>
      </c>
      <c r="G82" s="55">
        <f>K15</f>
        <v>2537195</v>
      </c>
    </row>
    <row r="83" spans="1:7" x14ac:dyDescent="0.15">
      <c r="A83" s="3">
        <v>2013</v>
      </c>
      <c r="B83" s="3" t="s">
        <v>251</v>
      </c>
      <c r="C83" s="3">
        <v>390474</v>
      </c>
      <c r="E83" s="120" t="s">
        <v>140</v>
      </c>
      <c r="F83" s="3" t="s">
        <v>56</v>
      </c>
      <c r="G83" s="55">
        <f>(C87+C94)/2</f>
        <v>432546.5</v>
      </c>
    </row>
    <row r="84" spans="1:7" x14ac:dyDescent="0.15">
      <c r="A84" s="3">
        <v>2013</v>
      </c>
      <c r="B84" s="3" t="s">
        <v>66</v>
      </c>
      <c r="C84" s="3">
        <v>239931</v>
      </c>
      <c r="E84" s="120" t="s">
        <v>140</v>
      </c>
      <c r="F84" s="3" t="s">
        <v>71</v>
      </c>
      <c r="G84" s="55">
        <f t="shared" ref="G84:G89" si="10">(C88+C95)/2</f>
        <v>472762.5</v>
      </c>
    </row>
    <row r="85" spans="1:7" x14ac:dyDescent="0.15">
      <c r="A85" s="3">
        <v>2013</v>
      </c>
      <c r="B85" s="3" t="s">
        <v>51</v>
      </c>
      <c r="C85" s="3">
        <v>318308</v>
      </c>
      <c r="E85" s="120" t="s">
        <v>140</v>
      </c>
      <c r="F85" s="3" t="s">
        <v>40</v>
      </c>
      <c r="G85" s="55">
        <f t="shared" si="10"/>
        <v>570544</v>
      </c>
    </row>
    <row r="86" spans="1:7" x14ac:dyDescent="0.15">
      <c r="A86" s="3">
        <v>2013</v>
      </c>
      <c r="B86" s="3" t="s">
        <v>46</v>
      </c>
      <c r="C86" s="3">
        <v>110603</v>
      </c>
      <c r="E86" s="120" t="s">
        <v>140</v>
      </c>
      <c r="F86" s="3" t="s">
        <v>61</v>
      </c>
      <c r="G86" s="55">
        <f t="shared" si="10"/>
        <v>394165.5</v>
      </c>
    </row>
    <row r="87" spans="1:7" x14ac:dyDescent="0.15">
      <c r="A87" s="3">
        <v>2014</v>
      </c>
      <c r="B87" s="3" t="s">
        <v>56</v>
      </c>
      <c r="C87" s="3">
        <v>431524</v>
      </c>
      <c r="E87" s="120" t="s">
        <v>140</v>
      </c>
      <c r="F87" s="3" t="s">
        <v>66</v>
      </c>
      <c r="G87" s="55">
        <f t="shared" si="10"/>
        <v>241126</v>
      </c>
    </row>
    <row r="88" spans="1:7" x14ac:dyDescent="0.15">
      <c r="A88" s="3">
        <v>2014</v>
      </c>
      <c r="B88" s="3" t="s">
        <v>71</v>
      </c>
      <c r="C88" s="3">
        <v>472104</v>
      </c>
      <c r="E88" s="120" t="s">
        <v>140</v>
      </c>
      <c r="F88" s="3" t="s">
        <v>51</v>
      </c>
      <c r="G88" s="55">
        <f t="shared" si="10"/>
        <v>318450</v>
      </c>
    </row>
    <row r="89" spans="1:7" x14ac:dyDescent="0.15">
      <c r="A89" s="3">
        <v>2014</v>
      </c>
      <c r="B89" s="3" t="s">
        <v>40</v>
      </c>
      <c r="C89" s="3">
        <v>570272</v>
      </c>
      <c r="E89" s="120" t="s">
        <v>140</v>
      </c>
      <c r="F89" s="3" t="s">
        <v>46</v>
      </c>
      <c r="G89" s="55">
        <f t="shared" si="10"/>
        <v>110901.5</v>
      </c>
    </row>
    <row r="90" spans="1:7" x14ac:dyDescent="0.15">
      <c r="A90" s="3">
        <v>2014</v>
      </c>
      <c r="B90" s="3" t="s">
        <v>251</v>
      </c>
      <c r="C90" s="3">
        <v>393054</v>
      </c>
      <c r="E90" s="120">
        <v>2015</v>
      </c>
      <c r="F90" s="3" t="s">
        <v>35</v>
      </c>
      <c r="G90" s="55">
        <f>K16</f>
        <v>2543797</v>
      </c>
    </row>
    <row r="91" spans="1:7" x14ac:dyDescent="0.15">
      <c r="A91" s="3">
        <v>2014</v>
      </c>
      <c r="B91" s="3" t="s">
        <v>66</v>
      </c>
      <c r="C91" s="3">
        <v>240741</v>
      </c>
      <c r="E91" s="124">
        <v>2016</v>
      </c>
      <c r="F91" s="1" t="s">
        <v>56</v>
      </c>
      <c r="G91" s="1">
        <f>C101</f>
        <v>436802</v>
      </c>
    </row>
    <row r="92" spans="1:7" x14ac:dyDescent="0.15">
      <c r="A92" s="3">
        <v>2014</v>
      </c>
      <c r="B92" s="3" t="s">
        <v>51</v>
      </c>
      <c r="C92" s="3">
        <v>318739</v>
      </c>
      <c r="E92" s="124">
        <v>2016</v>
      </c>
      <c r="F92" s="1" t="s">
        <v>71</v>
      </c>
      <c r="G92" s="1">
        <f t="shared" ref="G92:G97" si="11">C102</f>
        <v>475496</v>
      </c>
    </row>
    <row r="93" spans="1:7" x14ac:dyDescent="0.15">
      <c r="A93" s="3">
        <v>2014</v>
      </c>
      <c r="B93" s="3" t="s">
        <v>46</v>
      </c>
      <c r="C93" s="3">
        <v>110761</v>
      </c>
      <c r="E93" s="124">
        <v>2016</v>
      </c>
      <c r="F93" s="1" t="s">
        <v>40</v>
      </c>
      <c r="G93" s="1">
        <f t="shared" si="11"/>
        <v>572203</v>
      </c>
    </row>
    <row r="94" spans="1:7" x14ac:dyDescent="0.15">
      <c r="A94" s="3">
        <v>2015</v>
      </c>
      <c r="B94" s="3" t="s">
        <v>56</v>
      </c>
      <c r="C94" s="3">
        <v>433569</v>
      </c>
      <c r="E94" s="124">
        <v>2016</v>
      </c>
      <c r="F94" s="1" t="s">
        <v>61</v>
      </c>
      <c r="G94" s="1">
        <f t="shared" si="11"/>
        <v>399649</v>
      </c>
    </row>
    <row r="95" spans="1:7" x14ac:dyDescent="0.15">
      <c r="A95" s="3">
        <v>2015</v>
      </c>
      <c r="B95" s="3" t="s">
        <v>71</v>
      </c>
      <c r="C95" s="3">
        <v>473421</v>
      </c>
      <c r="E95" s="124">
        <v>2016</v>
      </c>
      <c r="F95" s="1" t="s">
        <v>66</v>
      </c>
      <c r="G95" s="1">
        <f t="shared" si="11"/>
        <v>242408</v>
      </c>
    </row>
    <row r="96" spans="1:7" x14ac:dyDescent="0.15">
      <c r="A96" s="3">
        <v>2015</v>
      </c>
      <c r="B96" s="3" t="s">
        <v>40</v>
      </c>
      <c r="C96" s="3">
        <v>570816</v>
      </c>
      <c r="E96" s="124">
        <v>2016</v>
      </c>
      <c r="F96" s="1" t="s">
        <v>51</v>
      </c>
      <c r="G96" s="1">
        <f t="shared" si="11"/>
        <v>318617</v>
      </c>
    </row>
    <row r="97" spans="1:7" x14ac:dyDescent="0.15">
      <c r="A97" s="3">
        <v>2015</v>
      </c>
      <c r="B97" s="3" t="s">
        <v>251</v>
      </c>
      <c r="C97" s="3">
        <v>395277</v>
      </c>
      <c r="E97" s="124">
        <v>2016</v>
      </c>
      <c r="F97" s="1" t="s">
        <v>46</v>
      </c>
      <c r="G97" s="1">
        <f t="shared" si="11"/>
        <v>110896</v>
      </c>
    </row>
    <row r="98" spans="1:7" x14ac:dyDescent="0.15">
      <c r="A98" s="3">
        <v>2015</v>
      </c>
      <c r="B98" s="3" t="s">
        <v>66</v>
      </c>
      <c r="C98" s="3">
        <v>241511</v>
      </c>
      <c r="E98" s="124">
        <v>2016</v>
      </c>
      <c r="F98" s="1" t="s">
        <v>35</v>
      </c>
      <c r="G98" s="1">
        <f>K17</f>
        <v>2556071</v>
      </c>
    </row>
    <row r="99" spans="1:7" x14ac:dyDescent="0.15">
      <c r="A99" s="3">
        <v>2015</v>
      </c>
      <c r="B99" s="3" t="s">
        <v>51</v>
      </c>
      <c r="C99" s="3">
        <v>318161</v>
      </c>
    </row>
    <row r="100" spans="1:7" x14ac:dyDescent="0.15">
      <c r="A100" s="3">
        <v>2015</v>
      </c>
      <c r="B100" s="3" t="s">
        <v>46</v>
      </c>
      <c r="C100" s="3">
        <v>111042</v>
      </c>
    </row>
    <row r="101" spans="1:7" x14ac:dyDescent="0.15">
      <c r="A101" s="1">
        <v>2016</v>
      </c>
      <c r="B101" s="1" t="s">
        <v>56</v>
      </c>
      <c r="C101" s="1">
        <v>436802</v>
      </c>
    </row>
    <row r="102" spans="1:7" x14ac:dyDescent="0.15">
      <c r="A102" s="1">
        <v>2016</v>
      </c>
      <c r="B102" s="1" t="s">
        <v>71</v>
      </c>
      <c r="C102" s="1">
        <v>475496</v>
      </c>
    </row>
    <row r="103" spans="1:7" x14ac:dyDescent="0.15">
      <c r="A103" s="1">
        <v>2016</v>
      </c>
      <c r="B103" s="1" t="s">
        <v>40</v>
      </c>
      <c r="C103" s="1">
        <v>572203</v>
      </c>
    </row>
    <row r="104" spans="1:7" x14ac:dyDescent="0.15">
      <c r="A104" s="1">
        <v>2016</v>
      </c>
      <c r="B104" s="1" t="s">
        <v>251</v>
      </c>
      <c r="C104" s="1">
        <v>399649</v>
      </c>
    </row>
    <row r="105" spans="1:7" x14ac:dyDescent="0.15">
      <c r="A105" s="1">
        <v>2016</v>
      </c>
      <c r="B105" s="1" t="s">
        <v>66</v>
      </c>
      <c r="C105" s="1">
        <v>242408</v>
      </c>
    </row>
    <row r="106" spans="1:7" x14ac:dyDescent="0.15">
      <c r="A106" s="1">
        <v>2016</v>
      </c>
      <c r="B106" s="1" t="s">
        <v>51</v>
      </c>
      <c r="C106" s="1">
        <v>318617</v>
      </c>
    </row>
    <row r="107" spans="1:7" x14ac:dyDescent="0.15">
      <c r="A107" s="1">
        <v>2016</v>
      </c>
      <c r="B107" s="1" t="s">
        <v>46</v>
      </c>
      <c r="C107" s="1">
        <v>110896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workbookViewId="0">
      <selection activeCell="O47" sqref="O47"/>
    </sheetView>
  </sheetViews>
  <sheetFormatPr defaultRowHeight="11.25" x14ac:dyDescent="0.15"/>
  <cols>
    <col min="1" max="1" width="9.140625" style="3"/>
    <col min="2" max="2" width="34.5703125" style="3" bestFit="1" customWidth="1"/>
    <col min="3" max="4" width="9.140625" style="3"/>
    <col min="5" max="5" width="18.7109375" style="3" bestFit="1" customWidth="1"/>
    <col min="6" max="6" width="18.7109375" style="3" customWidth="1"/>
    <col min="7" max="7" width="10.7109375" style="3" bestFit="1" customWidth="1"/>
    <col min="8" max="8" width="4.85546875" style="3" customWidth="1"/>
    <col min="9" max="16384" width="9.140625" style="3"/>
  </cols>
  <sheetData>
    <row r="1" spans="1:11" x14ac:dyDescent="0.15">
      <c r="A1" s="3" t="s">
        <v>247</v>
      </c>
      <c r="E1" s="3" t="s">
        <v>248</v>
      </c>
    </row>
    <row r="2" spans="1:11" x14ac:dyDescent="0.15">
      <c r="A2" s="3" t="s">
        <v>249</v>
      </c>
      <c r="B2" s="3" t="s">
        <v>243</v>
      </c>
      <c r="C2" s="3" t="s">
        <v>250</v>
      </c>
      <c r="E2" s="3" t="s">
        <v>249</v>
      </c>
      <c r="F2" s="3" t="s">
        <v>243</v>
      </c>
      <c r="G2" s="3" t="s">
        <v>250</v>
      </c>
      <c r="J2" s="3" t="s">
        <v>249</v>
      </c>
      <c r="K2" s="3" t="s">
        <v>250</v>
      </c>
    </row>
    <row r="3" spans="1:11" x14ac:dyDescent="0.15">
      <c r="A3" s="3">
        <v>2002</v>
      </c>
      <c r="B3" s="3" t="s">
        <v>56</v>
      </c>
      <c r="C3" s="3">
        <v>6351</v>
      </c>
      <c r="E3" s="120" t="s">
        <v>129</v>
      </c>
      <c r="F3" s="3" t="s">
        <v>56</v>
      </c>
      <c r="G3" s="55">
        <f>(C17+C24)/2</f>
        <v>6407</v>
      </c>
      <c r="J3" s="3">
        <v>2002</v>
      </c>
      <c r="K3" s="3">
        <v>38807</v>
      </c>
    </row>
    <row r="4" spans="1:11" x14ac:dyDescent="0.15">
      <c r="A4" s="3">
        <v>2002</v>
      </c>
      <c r="B4" s="3" t="s">
        <v>71</v>
      </c>
      <c r="C4" s="3">
        <v>7826</v>
      </c>
      <c r="E4" s="120" t="s">
        <v>129</v>
      </c>
      <c r="F4" s="3" t="s">
        <v>71</v>
      </c>
      <c r="G4" s="55">
        <f t="shared" ref="G4:G9" si="0">(C18+C25)/2</f>
        <v>7950</v>
      </c>
      <c r="J4" s="3">
        <v>2003</v>
      </c>
      <c r="K4" s="3">
        <v>39447</v>
      </c>
    </row>
    <row r="5" spans="1:11" x14ac:dyDescent="0.15">
      <c r="A5" s="3">
        <v>2002</v>
      </c>
      <c r="B5" s="3" t="s">
        <v>40</v>
      </c>
      <c r="C5" s="3">
        <v>8546</v>
      </c>
      <c r="E5" s="120" t="s">
        <v>129</v>
      </c>
      <c r="F5" s="3" t="s">
        <v>40</v>
      </c>
      <c r="G5" s="55">
        <f t="shared" si="0"/>
        <v>8795.5</v>
      </c>
      <c r="J5" s="3">
        <v>2004</v>
      </c>
      <c r="K5" s="3">
        <v>39430</v>
      </c>
    </row>
    <row r="6" spans="1:11" x14ac:dyDescent="0.15">
      <c r="A6" s="3">
        <v>2002</v>
      </c>
      <c r="B6" s="3" t="s">
        <v>251</v>
      </c>
      <c r="C6" s="3">
        <v>5780</v>
      </c>
      <c r="E6" s="120" t="s">
        <v>129</v>
      </c>
      <c r="F6" s="3" t="s">
        <v>61</v>
      </c>
      <c r="G6" s="55">
        <f>(C20+C27)/2</f>
        <v>5603.5</v>
      </c>
      <c r="J6" s="3">
        <v>2005</v>
      </c>
      <c r="K6" s="3">
        <v>39187</v>
      </c>
    </row>
    <row r="7" spans="1:11" x14ac:dyDescent="0.15">
      <c r="A7" s="3">
        <v>2002</v>
      </c>
      <c r="B7" s="3" t="s">
        <v>66</v>
      </c>
      <c r="C7" s="3">
        <v>4048</v>
      </c>
      <c r="E7" s="120" t="s">
        <v>129</v>
      </c>
      <c r="F7" s="3" t="s">
        <v>66</v>
      </c>
      <c r="G7" s="55">
        <f t="shared" si="0"/>
        <v>4032.5</v>
      </c>
      <c r="J7" s="3">
        <v>2006</v>
      </c>
      <c r="K7" s="3">
        <v>40459</v>
      </c>
    </row>
    <row r="8" spans="1:11" x14ac:dyDescent="0.15">
      <c r="A8" s="3">
        <v>2002</v>
      </c>
      <c r="B8" s="3" t="s">
        <v>51</v>
      </c>
      <c r="C8" s="3">
        <v>4641</v>
      </c>
      <c r="E8" s="120" t="s">
        <v>129</v>
      </c>
      <c r="F8" s="3" t="s">
        <v>51</v>
      </c>
      <c r="G8" s="55">
        <f>(C22+C29)/2</f>
        <v>4781.5</v>
      </c>
      <c r="J8" s="3">
        <v>2007</v>
      </c>
      <c r="K8" s="3">
        <v>39961</v>
      </c>
    </row>
    <row r="9" spans="1:11" x14ac:dyDescent="0.15">
      <c r="A9" s="3">
        <v>2002</v>
      </c>
      <c r="B9" s="3" t="s">
        <v>46</v>
      </c>
      <c r="C9" s="3">
        <v>1615</v>
      </c>
      <c r="E9" s="120" t="s">
        <v>129</v>
      </c>
      <c r="F9" s="3" t="s">
        <v>46</v>
      </c>
      <c r="G9" s="55">
        <f t="shared" si="0"/>
        <v>1738.5</v>
      </c>
      <c r="J9" s="3">
        <v>2008</v>
      </c>
      <c r="K9" s="3">
        <v>38834</v>
      </c>
    </row>
    <row r="10" spans="1:11" x14ac:dyDescent="0.15">
      <c r="A10" s="3">
        <v>2003</v>
      </c>
      <c r="B10" s="3" t="s">
        <v>56</v>
      </c>
      <c r="C10" s="3">
        <v>6435</v>
      </c>
      <c r="E10" s="120">
        <v>2005</v>
      </c>
      <c r="F10" s="3" t="s">
        <v>35</v>
      </c>
      <c r="G10" s="55">
        <f>K6</f>
        <v>39187</v>
      </c>
      <c r="J10" s="3">
        <v>2009</v>
      </c>
      <c r="K10" s="3">
        <v>38859</v>
      </c>
    </row>
    <row r="11" spans="1:11" x14ac:dyDescent="0.15">
      <c r="A11" s="3">
        <v>2003</v>
      </c>
      <c r="B11" s="3" t="s">
        <v>71</v>
      </c>
      <c r="C11" s="3">
        <v>8018</v>
      </c>
      <c r="E11" s="120" t="s">
        <v>131</v>
      </c>
      <c r="F11" s="3" t="s">
        <v>56</v>
      </c>
      <c r="G11" s="55">
        <f>(C24+C31)/2</f>
        <v>6467</v>
      </c>
      <c r="J11" s="3">
        <v>2010</v>
      </c>
      <c r="K11" s="3">
        <v>37233</v>
      </c>
    </row>
    <row r="12" spans="1:11" x14ac:dyDescent="0.15">
      <c r="A12" s="3">
        <v>2003</v>
      </c>
      <c r="B12" s="3" t="s">
        <v>40</v>
      </c>
      <c r="C12" s="3">
        <v>8669</v>
      </c>
      <c r="E12" s="120" t="s">
        <v>131</v>
      </c>
      <c r="F12" s="3" t="s">
        <v>71</v>
      </c>
      <c r="G12" s="55">
        <f t="shared" ref="G12:G17" si="1">(C25+C32)/2</f>
        <v>8079</v>
      </c>
      <c r="J12" s="3">
        <v>2011</v>
      </c>
      <c r="K12" s="3">
        <v>36945</v>
      </c>
    </row>
    <row r="13" spans="1:11" x14ac:dyDescent="0.15">
      <c r="A13" s="3">
        <v>2003</v>
      </c>
      <c r="B13" s="3" t="s">
        <v>251</v>
      </c>
      <c r="C13" s="3">
        <v>5748</v>
      </c>
      <c r="E13" s="120" t="s">
        <v>131</v>
      </c>
      <c r="F13" s="3" t="s">
        <v>40</v>
      </c>
      <c r="G13" s="55">
        <f>(C26+C33)/2</f>
        <v>8926.5</v>
      </c>
      <c r="J13" s="3">
        <v>2012</v>
      </c>
      <c r="K13" s="3">
        <v>37910</v>
      </c>
    </row>
    <row r="14" spans="1:11" x14ac:dyDescent="0.15">
      <c r="A14" s="3">
        <v>2003</v>
      </c>
      <c r="B14" s="3" t="s">
        <v>66</v>
      </c>
      <c r="C14" s="3">
        <v>4019</v>
      </c>
      <c r="E14" s="120" t="s">
        <v>131</v>
      </c>
      <c r="F14" s="3" t="s">
        <v>61</v>
      </c>
      <c r="G14" s="55">
        <f t="shared" si="1"/>
        <v>5611</v>
      </c>
      <c r="J14" s="3">
        <v>2013</v>
      </c>
      <c r="K14" s="3">
        <v>36420</v>
      </c>
    </row>
    <row r="15" spans="1:11" x14ac:dyDescent="0.15">
      <c r="A15" s="3">
        <v>2003</v>
      </c>
      <c r="B15" s="3" t="s">
        <v>51</v>
      </c>
      <c r="C15" s="3">
        <v>4820</v>
      </c>
      <c r="E15" s="120" t="s">
        <v>131</v>
      </c>
      <c r="F15" s="3" t="s">
        <v>66</v>
      </c>
      <c r="G15" s="55">
        <f t="shared" si="1"/>
        <v>4062</v>
      </c>
      <c r="J15" s="3">
        <v>2014</v>
      </c>
      <c r="K15" s="3">
        <v>35751</v>
      </c>
    </row>
    <row r="16" spans="1:11" x14ac:dyDescent="0.15">
      <c r="A16" s="3">
        <v>2003</v>
      </c>
      <c r="B16" s="3" t="s">
        <v>46</v>
      </c>
      <c r="C16" s="3">
        <v>1738</v>
      </c>
      <c r="E16" s="120" t="s">
        <v>131</v>
      </c>
      <c r="F16" s="3" t="s">
        <v>51</v>
      </c>
      <c r="G16" s="55">
        <f t="shared" si="1"/>
        <v>4872.5</v>
      </c>
      <c r="J16" s="3">
        <v>2015</v>
      </c>
      <c r="K16" s="3">
        <v>34611</v>
      </c>
    </row>
    <row r="17" spans="1:11" x14ac:dyDescent="0.15">
      <c r="A17" s="3">
        <v>2004</v>
      </c>
      <c r="B17" s="3" t="s">
        <v>56</v>
      </c>
      <c r="C17" s="3">
        <v>6417</v>
      </c>
      <c r="E17" s="120" t="s">
        <v>131</v>
      </c>
      <c r="F17" s="3" t="s">
        <v>46</v>
      </c>
      <c r="G17" s="55">
        <f t="shared" si="1"/>
        <v>1805</v>
      </c>
      <c r="J17" s="1">
        <v>2016</v>
      </c>
      <c r="K17" s="1">
        <v>33896</v>
      </c>
    </row>
    <row r="18" spans="1:11" x14ac:dyDescent="0.15">
      <c r="A18" s="3">
        <v>2004</v>
      </c>
      <c r="B18" s="3" t="s">
        <v>71</v>
      </c>
      <c r="C18" s="3">
        <v>7987</v>
      </c>
      <c r="E18" s="120">
        <v>2006</v>
      </c>
      <c r="F18" s="3" t="s">
        <v>35</v>
      </c>
      <c r="G18" s="55">
        <f>K7</f>
        <v>40459</v>
      </c>
    </row>
    <row r="19" spans="1:11" x14ac:dyDescent="0.15">
      <c r="A19" s="3">
        <v>2004</v>
      </c>
      <c r="B19" s="3" t="s">
        <v>40</v>
      </c>
      <c r="C19" s="3">
        <v>8776</v>
      </c>
      <c r="E19" s="120" t="s">
        <v>132</v>
      </c>
      <c r="F19" s="3" t="s">
        <v>56</v>
      </c>
      <c r="G19" s="55">
        <f>(C31+C38)/2</f>
        <v>6509.5</v>
      </c>
    </row>
    <row r="20" spans="1:11" x14ac:dyDescent="0.15">
      <c r="A20" s="3">
        <v>2004</v>
      </c>
      <c r="B20" s="3" t="s">
        <v>251</v>
      </c>
      <c r="C20" s="3">
        <v>5703</v>
      </c>
      <c r="E20" s="120" t="s">
        <v>132</v>
      </c>
      <c r="F20" s="3" t="s">
        <v>71</v>
      </c>
      <c r="G20" s="55">
        <f t="shared" ref="G20:G23" si="2">(C32+C39)/2</f>
        <v>8137.5</v>
      </c>
    </row>
    <row r="21" spans="1:11" x14ac:dyDescent="0.15">
      <c r="A21" s="3">
        <v>2004</v>
      </c>
      <c r="B21" s="3" t="s">
        <v>66</v>
      </c>
      <c r="C21" s="3">
        <v>4037</v>
      </c>
      <c r="E21" s="120" t="s">
        <v>132</v>
      </c>
      <c r="F21" s="3" t="s">
        <v>40</v>
      </c>
      <c r="G21" s="55">
        <f t="shared" si="2"/>
        <v>8956</v>
      </c>
    </row>
    <row r="22" spans="1:11" x14ac:dyDescent="0.15">
      <c r="A22" s="3">
        <v>2004</v>
      </c>
      <c r="B22" s="3" t="s">
        <v>51</v>
      </c>
      <c r="C22" s="3">
        <v>4782</v>
      </c>
      <c r="E22" s="120" t="s">
        <v>132</v>
      </c>
      <c r="F22" s="3" t="s">
        <v>61</v>
      </c>
      <c r="G22" s="55">
        <f>(C34+C41)/2</f>
        <v>5767</v>
      </c>
    </row>
    <row r="23" spans="1:11" x14ac:dyDescent="0.15">
      <c r="A23" s="3">
        <v>2004</v>
      </c>
      <c r="B23" s="3" t="s">
        <v>46</v>
      </c>
      <c r="C23" s="3">
        <v>1728</v>
      </c>
      <c r="E23" s="120" t="s">
        <v>132</v>
      </c>
      <c r="F23" s="3" t="s">
        <v>66</v>
      </c>
      <c r="G23" s="55">
        <f t="shared" si="2"/>
        <v>3980.5</v>
      </c>
    </row>
    <row r="24" spans="1:11" x14ac:dyDescent="0.15">
      <c r="A24" s="3">
        <v>2005</v>
      </c>
      <c r="B24" s="3" t="s">
        <v>56</v>
      </c>
      <c r="C24" s="3">
        <v>6397</v>
      </c>
      <c r="E24" s="120" t="s">
        <v>132</v>
      </c>
      <c r="F24" s="3" t="s">
        <v>51</v>
      </c>
      <c r="G24" s="55">
        <f>(C36+C43)/2</f>
        <v>5028.5</v>
      </c>
    </row>
    <row r="25" spans="1:11" x14ac:dyDescent="0.15">
      <c r="A25" s="3">
        <v>2005</v>
      </c>
      <c r="B25" s="3" t="s">
        <v>71</v>
      </c>
      <c r="C25" s="3">
        <v>7913</v>
      </c>
      <c r="E25" s="120" t="s">
        <v>132</v>
      </c>
      <c r="F25" s="3" t="s">
        <v>46</v>
      </c>
      <c r="G25" s="55">
        <f>(C37+C44)/2</f>
        <v>1831</v>
      </c>
    </row>
    <row r="26" spans="1:11" x14ac:dyDescent="0.15">
      <c r="A26" s="3">
        <v>2005</v>
      </c>
      <c r="B26" s="3" t="s">
        <v>40</v>
      </c>
      <c r="C26" s="3">
        <v>8815</v>
      </c>
      <c r="E26" s="120">
        <v>2007</v>
      </c>
      <c r="F26" s="3" t="s">
        <v>35</v>
      </c>
      <c r="G26" s="55">
        <f>K8</f>
        <v>39961</v>
      </c>
    </row>
    <row r="27" spans="1:11" x14ac:dyDescent="0.15">
      <c r="A27" s="3">
        <v>2005</v>
      </c>
      <c r="B27" s="3" t="s">
        <v>251</v>
      </c>
      <c r="C27" s="3">
        <v>5504</v>
      </c>
      <c r="E27" s="120" t="s">
        <v>133</v>
      </c>
      <c r="F27" s="3" t="s">
        <v>56</v>
      </c>
      <c r="G27" s="55">
        <f t="shared" ref="G27:G33" si="3">(C45+C38)/2</f>
        <v>6374</v>
      </c>
    </row>
    <row r="28" spans="1:11" x14ac:dyDescent="0.15">
      <c r="A28" s="3">
        <v>2005</v>
      </c>
      <c r="B28" s="3" t="s">
        <v>66</v>
      </c>
      <c r="C28" s="3">
        <v>4028</v>
      </c>
      <c r="E28" s="120" t="s">
        <v>133</v>
      </c>
      <c r="F28" s="3" t="s">
        <v>71</v>
      </c>
      <c r="G28" s="55">
        <f t="shared" si="3"/>
        <v>7944</v>
      </c>
    </row>
    <row r="29" spans="1:11" x14ac:dyDescent="0.15">
      <c r="A29" s="3">
        <v>2005</v>
      </c>
      <c r="B29" s="3" t="s">
        <v>51</v>
      </c>
      <c r="C29" s="3">
        <v>4781</v>
      </c>
      <c r="E29" s="120" t="s">
        <v>133</v>
      </c>
      <c r="F29" s="3" t="s">
        <v>40</v>
      </c>
      <c r="G29" s="55">
        <f t="shared" si="3"/>
        <v>8724</v>
      </c>
    </row>
    <row r="30" spans="1:11" x14ac:dyDescent="0.15">
      <c r="A30" s="3">
        <v>2005</v>
      </c>
      <c r="B30" s="3" t="s">
        <v>46</v>
      </c>
      <c r="C30" s="3">
        <v>1749</v>
      </c>
      <c r="E30" s="120" t="s">
        <v>133</v>
      </c>
      <c r="F30" s="3" t="s">
        <v>61</v>
      </c>
      <c r="G30" s="55">
        <f t="shared" si="3"/>
        <v>5806</v>
      </c>
    </row>
    <row r="31" spans="1:11" x14ac:dyDescent="0.15">
      <c r="A31" s="3">
        <v>2006</v>
      </c>
      <c r="B31" s="3" t="s">
        <v>56</v>
      </c>
      <c r="C31" s="3">
        <v>6537</v>
      </c>
      <c r="E31" s="120" t="s">
        <v>133</v>
      </c>
      <c r="F31" s="3" t="s">
        <v>66</v>
      </c>
      <c r="G31" s="55">
        <f t="shared" si="3"/>
        <v>3819.5</v>
      </c>
    </row>
    <row r="32" spans="1:11" x14ac:dyDescent="0.15">
      <c r="A32" s="3">
        <v>2006</v>
      </c>
      <c r="B32" s="3" t="s">
        <v>71</v>
      </c>
      <c r="C32" s="3">
        <v>8245</v>
      </c>
      <c r="E32" s="120" t="s">
        <v>133</v>
      </c>
      <c r="F32" s="3" t="s">
        <v>51</v>
      </c>
      <c r="G32" s="55">
        <f t="shared" si="3"/>
        <v>4958</v>
      </c>
    </row>
    <row r="33" spans="1:7" x14ac:dyDescent="0.15">
      <c r="A33" s="3">
        <v>2006</v>
      </c>
      <c r="B33" s="3" t="s">
        <v>40</v>
      </c>
      <c r="C33" s="3">
        <v>9038</v>
      </c>
      <c r="E33" s="120" t="s">
        <v>133</v>
      </c>
      <c r="F33" s="3" t="s">
        <v>46</v>
      </c>
      <c r="G33" s="55">
        <f t="shared" si="3"/>
        <v>1772</v>
      </c>
    </row>
    <row r="34" spans="1:7" x14ac:dyDescent="0.15">
      <c r="A34" s="3">
        <v>2006</v>
      </c>
      <c r="B34" s="3" t="s">
        <v>251</v>
      </c>
      <c r="C34" s="3">
        <v>5718</v>
      </c>
      <c r="E34" s="120">
        <v>2008</v>
      </c>
      <c r="F34" s="3" t="s">
        <v>35</v>
      </c>
      <c r="G34" s="55">
        <f>K9</f>
        <v>38834</v>
      </c>
    </row>
    <row r="35" spans="1:7" x14ac:dyDescent="0.15">
      <c r="A35" s="3">
        <v>2006</v>
      </c>
      <c r="B35" s="3" t="s">
        <v>66</v>
      </c>
      <c r="C35" s="3">
        <v>4096</v>
      </c>
      <c r="E35" s="120" t="s">
        <v>134</v>
      </c>
      <c r="F35" s="3" t="s">
        <v>56</v>
      </c>
      <c r="G35" s="55">
        <f t="shared" ref="G35:G41" si="4">(C52+C45)/2</f>
        <v>6320</v>
      </c>
    </row>
    <row r="36" spans="1:7" x14ac:dyDescent="0.15">
      <c r="A36" s="3">
        <v>2006</v>
      </c>
      <c r="B36" s="3" t="s">
        <v>51</v>
      </c>
      <c r="C36" s="3">
        <v>4964</v>
      </c>
      <c r="E36" s="120" t="s">
        <v>134</v>
      </c>
      <c r="F36" s="3" t="s">
        <v>71</v>
      </c>
      <c r="G36" s="55">
        <f t="shared" si="4"/>
        <v>7869.5</v>
      </c>
    </row>
    <row r="37" spans="1:7" x14ac:dyDescent="0.15">
      <c r="A37" s="3">
        <v>2006</v>
      </c>
      <c r="B37" s="3" t="s">
        <v>46</v>
      </c>
      <c r="C37" s="3">
        <v>1861</v>
      </c>
      <c r="E37" s="120" t="s">
        <v>134</v>
      </c>
      <c r="F37" s="3" t="s">
        <v>40</v>
      </c>
      <c r="G37" s="55">
        <f t="shared" si="4"/>
        <v>8577.5</v>
      </c>
    </row>
    <row r="38" spans="1:7" x14ac:dyDescent="0.15">
      <c r="A38" s="3">
        <v>2007</v>
      </c>
      <c r="B38" s="3" t="s">
        <v>56</v>
      </c>
      <c r="C38" s="3">
        <v>6482</v>
      </c>
      <c r="E38" s="120" t="s">
        <v>134</v>
      </c>
      <c r="F38" s="3" t="s">
        <v>61</v>
      </c>
      <c r="G38" s="55">
        <f t="shared" si="4"/>
        <v>5718</v>
      </c>
    </row>
    <row r="39" spans="1:7" x14ac:dyDescent="0.15">
      <c r="A39" s="3">
        <v>2007</v>
      </c>
      <c r="B39" s="3" t="s">
        <v>71</v>
      </c>
      <c r="C39" s="3">
        <v>8030</v>
      </c>
      <c r="E39" s="120" t="s">
        <v>134</v>
      </c>
      <c r="F39" s="3" t="s">
        <v>66</v>
      </c>
      <c r="G39" s="55">
        <f t="shared" si="4"/>
        <v>3771.5</v>
      </c>
    </row>
    <row r="40" spans="1:7" x14ac:dyDescent="0.15">
      <c r="A40" s="3">
        <v>2007</v>
      </c>
      <c r="B40" s="3" t="s">
        <v>40</v>
      </c>
      <c r="C40" s="3">
        <v>8874</v>
      </c>
      <c r="E40" s="120" t="s">
        <v>134</v>
      </c>
      <c r="F40" s="3" t="s">
        <v>51</v>
      </c>
      <c r="G40" s="55">
        <f t="shared" si="4"/>
        <v>4826</v>
      </c>
    </row>
    <row r="41" spans="1:7" x14ac:dyDescent="0.15">
      <c r="A41" s="3">
        <v>2007</v>
      </c>
      <c r="B41" s="3" t="s">
        <v>251</v>
      </c>
      <c r="C41" s="3">
        <v>5816</v>
      </c>
      <c r="E41" s="120" t="s">
        <v>134</v>
      </c>
      <c r="F41" s="3" t="s">
        <v>46</v>
      </c>
      <c r="G41" s="55">
        <f t="shared" si="4"/>
        <v>1764</v>
      </c>
    </row>
    <row r="42" spans="1:7" x14ac:dyDescent="0.15">
      <c r="A42" s="3">
        <v>2007</v>
      </c>
      <c r="B42" s="3" t="s">
        <v>66</v>
      </c>
      <c r="C42" s="3">
        <v>3865</v>
      </c>
      <c r="E42" s="120">
        <v>2009</v>
      </c>
      <c r="F42" s="3" t="s">
        <v>35</v>
      </c>
      <c r="G42" s="55">
        <f>K10</f>
        <v>38859</v>
      </c>
    </row>
    <row r="43" spans="1:7" x14ac:dyDescent="0.15">
      <c r="A43" s="3">
        <v>2007</v>
      </c>
      <c r="B43" s="3" t="s">
        <v>51</v>
      </c>
      <c r="C43" s="3">
        <v>5093</v>
      </c>
      <c r="E43" s="120" t="s">
        <v>135</v>
      </c>
      <c r="F43" s="3" t="s">
        <v>56</v>
      </c>
      <c r="G43" s="55">
        <f t="shared" ref="G43:G49" si="5">(C59+C52)/2</f>
        <v>6187.5</v>
      </c>
    </row>
    <row r="44" spans="1:7" x14ac:dyDescent="0.15">
      <c r="A44" s="3">
        <v>2007</v>
      </c>
      <c r="B44" s="3" t="s">
        <v>46</v>
      </c>
      <c r="C44" s="3">
        <v>1801</v>
      </c>
      <c r="E44" s="120" t="s">
        <v>135</v>
      </c>
      <c r="F44" s="3" t="s">
        <v>71</v>
      </c>
      <c r="G44" s="55">
        <f t="shared" si="5"/>
        <v>7759.5</v>
      </c>
    </row>
    <row r="45" spans="1:7" x14ac:dyDescent="0.15">
      <c r="A45" s="3">
        <v>2008</v>
      </c>
      <c r="B45" s="3" t="s">
        <v>56</v>
      </c>
      <c r="C45" s="3">
        <v>6266</v>
      </c>
      <c r="E45" s="120" t="s">
        <v>135</v>
      </c>
      <c r="F45" s="3" t="s">
        <v>40</v>
      </c>
      <c r="G45" s="55">
        <f t="shared" si="5"/>
        <v>8508.5</v>
      </c>
    </row>
    <row r="46" spans="1:7" x14ac:dyDescent="0.15">
      <c r="A46" s="3">
        <v>2008</v>
      </c>
      <c r="B46" s="3" t="s">
        <v>71</v>
      </c>
      <c r="C46" s="3">
        <v>7858</v>
      </c>
      <c r="E46" s="120" t="s">
        <v>135</v>
      </c>
      <c r="F46" s="3" t="s">
        <v>61</v>
      </c>
      <c r="G46" s="55">
        <f t="shared" si="5"/>
        <v>5535.5</v>
      </c>
    </row>
    <row r="47" spans="1:7" x14ac:dyDescent="0.15">
      <c r="A47" s="3">
        <v>2008</v>
      </c>
      <c r="B47" s="3" t="s">
        <v>40</v>
      </c>
      <c r="C47" s="3">
        <v>8574</v>
      </c>
      <c r="E47" s="120" t="s">
        <v>135</v>
      </c>
      <c r="F47" s="3" t="s">
        <v>66</v>
      </c>
      <c r="G47" s="55">
        <f t="shared" si="5"/>
        <v>3672.5</v>
      </c>
    </row>
    <row r="48" spans="1:7" x14ac:dyDescent="0.15">
      <c r="A48" s="3">
        <v>2008</v>
      </c>
      <c r="B48" s="3" t="s">
        <v>251</v>
      </c>
      <c r="C48" s="3">
        <v>5796</v>
      </c>
      <c r="E48" s="120" t="s">
        <v>135</v>
      </c>
      <c r="F48" s="3" t="s">
        <v>51</v>
      </c>
      <c r="G48" s="55">
        <f t="shared" si="5"/>
        <v>4660.5</v>
      </c>
    </row>
    <row r="49" spans="1:7" x14ac:dyDescent="0.15">
      <c r="A49" s="3">
        <v>2008</v>
      </c>
      <c r="B49" s="3" t="s">
        <v>66</v>
      </c>
      <c r="C49" s="3">
        <v>3774</v>
      </c>
      <c r="E49" s="120" t="s">
        <v>135</v>
      </c>
      <c r="F49" s="3" t="s">
        <v>46</v>
      </c>
      <c r="G49" s="55">
        <f t="shared" si="5"/>
        <v>1722</v>
      </c>
    </row>
    <row r="50" spans="1:7" x14ac:dyDescent="0.15">
      <c r="A50" s="3">
        <v>2008</v>
      </c>
      <c r="B50" s="3" t="s">
        <v>51</v>
      </c>
      <c r="C50" s="3">
        <v>4823</v>
      </c>
      <c r="E50" s="120">
        <v>2010</v>
      </c>
      <c r="F50" s="3" t="s">
        <v>35</v>
      </c>
      <c r="G50" s="55">
        <f>K11</f>
        <v>37233</v>
      </c>
    </row>
    <row r="51" spans="1:7" x14ac:dyDescent="0.15">
      <c r="A51" s="3">
        <v>2008</v>
      </c>
      <c r="B51" s="3" t="s">
        <v>46</v>
      </c>
      <c r="C51" s="3">
        <v>1743</v>
      </c>
      <c r="E51" s="120" t="s">
        <v>136</v>
      </c>
      <c r="F51" s="3" t="s">
        <v>56</v>
      </c>
      <c r="G51" s="55">
        <f t="shared" ref="G51:G57" si="6">(C66+C59)/2</f>
        <v>6005</v>
      </c>
    </row>
    <row r="52" spans="1:7" x14ac:dyDescent="0.15">
      <c r="A52" s="3">
        <v>2009</v>
      </c>
      <c r="B52" s="3" t="s">
        <v>56</v>
      </c>
      <c r="C52" s="3">
        <v>6374</v>
      </c>
      <c r="E52" s="120" t="s">
        <v>136</v>
      </c>
      <c r="F52" s="3" t="s">
        <v>71</v>
      </c>
      <c r="G52" s="55">
        <f t="shared" si="6"/>
        <v>7490.5</v>
      </c>
    </row>
    <row r="53" spans="1:7" x14ac:dyDescent="0.15">
      <c r="A53" s="3">
        <v>2009</v>
      </c>
      <c r="B53" s="3" t="s">
        <v>71</v>
      </c>
      <c r="C53" s="3">
        <v>7881</v>
      </c>
      <c r="E53" s="120" t="s">
        <v>136</v>
      </c>
      <c r="F53" s="3" t="s">
        <v>40</v>
      </c>
      <c r="G53" s="55">
        <f t="shared" si="6"/>
        <v>8245</v>
      </c>
    </row>
    <row r="54" spans="1:7" x14ac:dyDescent="0.15">
      <c r="A54" s="3">
        <v>2009</v>
      </c>
      <c r="B54" s="3" t="s">
        <v>40</v>
      </c>
      <c r="C54" s="3">
        <v>8581</v>
      </c>
      <c r="E54" s="120" t="s">
        <v>136</v>
      </c>
      <c r="F54" s="3" t="s">
        <v>61</v>
      </c>
      <c r="G54" s="55">
        <f t="shared" si="6"/>
        <v>5537</v>
      </c>
    </row>
    <row r="55" spans="1:7" x14ac:dyDescent="0.15">
      <c r="A55" s="3">
        <v>2009</v>
      </c>
      <c r="B55" s="3" t="s">
        <v>251</v>
      </c>
      <c r="C55" s="3">
        <v>5640</v>
      </c>
      <c r="E55" s="120" t="s">
        <v>136</v>
      </c>
      <c r="F55" s="3" t="s">
        <v>66</v>
      </c>
      <c r="G55" s="55">
        <f t="shared" si="6"/>
        <v>3545.5</v>
      </c>
    </row>
    <row r="56" spans="1:7" x14ac:dyDescent="0.15">
      <c r="A56" s="3">
        <v>2009</v>
      </c>
      <c r="B56" s="3" t="s">
        <v>66</v>
      </c>
      <c r="C56" s="3">
        <v>3769</v>
      </c>
      <c r="E56" s="120" t="s">
        <v>136</v>
      </c>
      <c r="F56" s="3" t="s">
        <v>51</v>
      </c>
      <c r="G56" s="55">
        <f t="shared" si="6"/>
        <v>4571.5</v>
      </c>
    </row>
    <row r="57" spans="1:7" x14ac:dyDescent="0.15">
      <c r="A57" s="3">
        <v>2009</v>
      </c>
      <c r="B57" s="3" t="s">
        <v>51</v>
      </c>
      <c r="C57" s="3">
        <v>4829</v>
      </c>
      <c r="E57" s="120" t="s">
        <v>136</v>
      </c>
      <c r="F57" s="3" t="s">
        <v>46</v>
      </c>
      <c r="G57" s="55">
        <f t="shared" si="6"/>
        <v>1694.5</v>
      </c>
    </row>
    <row r="58" spans="1:7" x14ac:dyDescent="0.15">
      <c r="A58" s="3">
        <v>2009</v>
      </c>
      <c r="B58" s="3" t="s">
        <v>46</v>
      </c>
      <c r="C58" s="3">
        <v>1785</v>
      </c>
      <c r="E58" s="120">
        <v>2011</v>
      </c>
      <c r="F58" s="3" t="s">
        <v>35</v>
      </c>
      <c r="G58" s="55">
        <f>K12</f>
        <v>36945</v>
      </c>
    </row>
    <row r="59" spans="1:7" x14ac:dyDescent="0.15">
      <c r="A59" s="3">
        <v>2010</v>
      </c>
      <c r="B59" s="3" t="s">
        <v>56</v>
      </c>
      <c r="C59" s="3">
        <v>6001</v>
      </c>
      <c r="E59" s="120" t="s">
        <v>137</v>
      </c>
      <c r="F59" s="3" t="s">
        <v>56</v>
      </c>
      <c r="G59" s="55">
        <f t="shared" ref="G59:G65" si="7">(C73+C66)/2</f>
        <v>6158</v>
      </c>
    </row>
    <row r="60" spans="1:7" x14ac:dyDescent="0.15">
      <c r="A60" s="3">
        <v>2010</v>
      </c>
      <c r="B60" s="3" t="s">
        <v>71</v>
      </c>
      <c r="C60" s="3">
        <v>7638</v>
      </c>
      <c r="E60" s="120" t="s">
        <v>137</v>
      </c>
      <c r="F60" s="3" t="s">
        <v>71</v>
      </c>
      <c r="G60" s="55">
        <f t="shared" si="7"/>
        <v>7604</v>
      </c>
    </row>
    <row r="61" spans="1:7" x14ac:dyDescent="0.15">
      <c r="A61" s="3">
        <v>2010</v>
      </c>
      <c r="B61" s="3" t="s">
        <v>40</v>
      </c>
      <c r="C61" s="3">
        <v>8436</v>
      </c>
      <c r="E61" s="120" t="s">
        <v>137</v>
      </c>
      <c r="F61" s="3" t="s">
        <v>40</v>
      </c>
      <c r="G61" s="55">
        <f t="shared" si="7"/>
        <v>8164.5</v>
      </c>
    </row>
    <row r="62" spans="1:7" x14ac:dyDescent="0.15">
      <c r="A62" s="3">
        <v>2010</v>
      </c>
      <c r="B62" s="3" t="s">
        <v>251</v>
      </c>
      <c r="C62" s="3">
        <v>5431</v>
      </c>
      <c r="E62" s="120" t="s">
        <v>137</v>
      </c>
      <c r="F62" s="3" t="s">
        <v>61</v>
      </c>
      <c r="G62" s="55">
        <f t="shared" si="7"/>
        <v>5538</v>
      </c>
    </row>
    <row r="63" spans="1:7" x14ac:dyDescent="0.15">
      <c r="A63" s="3">
        <v>2010</v>
      </c>
      <c r="B63" s="3" t="s">
        <v>66</v>
      </c>
      <c r="C63" s="3">
        <v>3576</v>
      </c>
      <c r="E63" s="120" t="s">
        <v>137</v>
      </c>
      <c r="F63" s="3" t="s">
        <v>66</v>
      </c>
      <c r="G63" s="55">
        <f t="shared" si="7"/>
        <v>3651.5</v>
      </c>
    </row>
    <row r="64" spans="1:7" x14ac:dyDescent="0.15">
      <c r="A64" s="3">
        <v>2010</v>
      </c>
      <c r="B64" s="3" t="s">
        <v>51</v>
      </c>
      <c r="C64" s="3">
        <v>4492</v>
      </c>
      <c r="E64" s="120" t="s">
        <v>137</v>
      </c>
      <c r="F64" s="3" t="s">
        <v>51</v>
      </c>
      <c r="G64" s="55">
        <f t="shared" si="7"/>
        <v>4613.5</v>
      </c>
    </row>
    <row r="65" spans="1:7" x14ac:dyDescent="0.15">
      <c r="A65" s="3">
        <v>2010</v>
      </c>
      <c r="B65" s="3" t="s">
        <v>46</v>
      </c>
      <c r="C65" s="3">
        <v>1659</v>
      </c>
      <c r="E65" s="120" t="s">
        <v>137</v>
      </c>
      <c r="F65" s="3" t="s">
        <v>46</v>
      </c>
      <c r="G65" s="55">
        <f t="shared" si="7"/>
        <v>1698</v>
      </c>
    </row>
    <row r="66" spans="1:7" x14ac:dyDescent="0.15">
      <c r="A66" s="3">
        <v>2011</v>
      </c>
      <c r="B66" s="3" t="s">
        <v>56</v>
      </c>
      <c r="C66" s="3">
        <v>6009</v>
      </c>
      <c r="E66" s="120">
        <v>2012</v>
      </c>
      <c r="F66" s="3" t="s">
        <v>35</v>
      </c>
      <c r="G66" s="55">
        <f>K13</f>
        <v>37910</v>
      </c>
    </row>
    <row r="67" spans="1:7" x14ac:dyDescent="0.15">
      <c r="A67" s="3">
        <v>2011</v>
      </c>
      <c r="B67" s="3" t="s">
        <v>71</v>
      </c>
      <c r="C67" s="3">
        <v>7343</v>
      </c>
      <c r="E67" s="120" t="s">
        <v>138</v>
      </c>
      <c r="F67" s="3" t="s">
        <v>56</v>
      </c>
      <c r="G67" s="55">
        <f t="shared" ref="G67:G73" si="8">(C80+C73)/2</f>
        <v>6157</v>
      </c>
    </row>
    <row r="68" spans="1:7" x14ac:dyDescent="0.15">
      <c r="A68" s="3">
        <v>2011</v>
      </c>
      <c r="B68" s="3" t="s">
        <v>40</v>
      </c>
      <c r="C68" s="3">
        <v>8054</v>
      </c>
      <c r="E68" s="120" t="s">
        <v>138</v>
      </c>
      <c r="F68" s="3" t="s">
        <v>71</v>
      </c>
      <c r="G68" s="55">
        <f t="shared" si="8"/>
        <v>7612.5</v>
      </c>
    </row>
    <row r="69" spans="1:7" x14ac:dyDescent="0.15">
      <c r="A69" s="3">
        <v>2011</v>
      </c>
      <c r="B69" s="3" t="s">
        <v>251</v>
      </c>
      <c r="C69" s="3">
        <v>5643</v>
      </c>
      <c r="E69" s="120" t="s">
        <v>138</v>
      </c>
      <c r="F69" s="3" t="s">
        <v>40</v>
      </c>
      <c r="G69" s="55">
        <f t="shared" si="8"/>
        <v>8146</v>
      </c>
    </row>
    <row r="70" spans="1:7" x14ac:dyDescent="0.15">
      <c r="A70" s="3">
        <v>2011</v>
      </c>
      <c r="B70" s="3" t="s">
        <v>66</v>
      </c>
      <c r="C70" s="3">
        <v>3515</v>
      </c>
      <c r="E70" s="120" t="s">
        <v>138</v>
      </c>
      <c r="F70" s="3" t="s">
        <v>61</v>
      </c>
      <c r="G70" s="55">
        <f t="shared" si="8"/>
        <v>5472.5</v>
      </c>
    </row>
    <row r="71" spans="1:7" x14ac:dyDescent="0.15">
      <c r="A71" s="3">
        <v>2011</v>
      </c>
      <c r="B71" s="3" t="s">
        <v>51</v>
      </c>
      <c r="C71" s="3">
        <v>4651</v>
      </c>
      <c r="E71" s="120" t="s">
        <v>138</v>
      </c>
      <c r="F71" s="3" t="s">
        <v>66</v>
      </c>
      <c r="G71" s="55">
        <f t="shared" si="8"/>
        <v>3617.5</v>
      </c>
    </row>
    <row r="72" spans="1:7" x14ac:dyDescent="0.15">
      <c r="A72" s="3">
        <v>2011</v>
      </c>
      <c r="B72" s="3" t="s">
        <v>46</v>
      </c>
      <c r="C72" s="3">
        <v>1730</v>
      </c>
      <c r="E72" s="120" t="s">
        <v>138</v>
      </c>
      <c r="F72" s="3" t="s">
        <v>51</v>
      </c>
      <c r="G72" s="55">
        <f t="shared" si="8"/>
        <v>4511.5</v>
      </c>
    </row>
    <row r="73" spans="1:7" x14ac:dyDescent="0.15">
      <c r="A73" s="3">
        <v>2012</v>
      </c>
      <c r="B73" s="3" t="s">
        <v>56</v>
      </c>
      <c r="C73" s="3">
        <v>6307</v>
      </c>
      <c r="E73" s="120" t="s">
        <v>138</v>
      </c>
      <c r="F73" s="3" t="s">
        <v>46</v>
      </c>
      <c r="G73" s="55">
        <f t="shared" si="8"/>
        <v>1648</v>
      </c>
    </row>
    <row r="74" spans="1:7" x14ac:dyDescent="0.15">
      <c r="A74" s="3">
        <v>2012</v>
      </c>
      <c r="B74" s="3" t="s">
        <v>71</v>
      </c>
      <c r="C74" s="3">
        <v>7865</v>
      </c>
      <c r="E74" s="120">
        <v>2013</v>
      </c>
      <c r="F74" s="3" t="s">
        <v>35</v>
      </c>
      <c r="G74" s="55">
        <f>K14</f>
        <v>36420</v>
      </c>
    </row>
    <row r="75" spans="1:7" x14ac:dyDescent="0.15">
      <c r="A75" s="3">
        <v>2012</v>
      </c>
      <c r="B75" s="3" t="s">
        <v>40</v>
      </c>
      <c r="C75" s="3">
        <v>8275</v>
      </c>
      <c r="E75" s="120" t="s">
        <v>139</v>
      </c>
      <c r="F75" s="3" t="s">
        <v>56</v>
      </c>
      <c r="G75" s="55">
        <f>(C87+C80)/2</f>
        <v>5957.5</v>
      </c>
    </row>
    <row r="76" spans="1:7" x14ac:dyDescent="0.15">
      <c r="A76" s="3">
        <v>2012</v>
      </c>
      <c r="B76" s="3" t="s">
        <v>251</v>
      </c>
      <c r="C76" s="3">
        <v>5433</v>
      </c>
      <c r="E76" s="120" t="s">
        <v>139</v>
      </c>
      <c r="F76" s="3" t="s">
        <v>71</v>
      </c>
      <c r="G76" s="55">
        <f t="shared" ref="G76:G81" si="9">(C88+C81)/2</f>
        <v>7185</v>
      </c>
    </row>
    <row r="77" spans="1:7" x14ac:dyDescent="0.15">
      <c r="A77" s="3">
        <v>2012</v>
      </c>
      <c r="B77" s="3" t="s">
        <v>66</v>
      </c>
      <c r="C77" s="3">
        <v>3788</v>
      </c>
      <c r="E77" s="120" t="s">
        <v>139</v>
      </c>
      <c r="F77" s="3" t="s">
        <v>40</v>
      </c>
      <c r="G77" s="55">
        <f t="shared" si="9"/>
        <v>7927.5</v>
      </c>
    </row>
    <row r="78" spans="1:7" x14ac:dyDescent="0.15">
      <c r="A78" s="3">
        <v>2012</v>
      </c>
      <c r="B78" s="3" t="s">
        <v>51</v>
      </c>
      <c r="C78" s="3">
        <v>4576</v>
      </c>
      <c r="E78" s="120" t="s">
        <v>139</v>
      </c>
      <c r="F78" s="3" t="s">
        <v>61</v>
      </c>
      <c r="G78" s="55">
        <f t="shared" si="9"/>
        <v>5406.5</v>
      </c>
    </row>
    <row r="79" spans="1:7" x14ac:dyDescent="0.15">
      <c r="A79" s="3">
        <v>2012</v>
      </c>
      <c r="B79" s="3" t="s">
        <v>46</v>
      </c>
      <c r="C79" s="3">
        <v>1666</v>
      </c>
      <c r="E79" s="120" t="s">
        <v>139</v>
      </c>
      <c r="F79" s="3" t="s">
        <v>66</v>
      </c>
      <c r="G79" s="55">
        <f t="shared" si="9"/>
        <v>3489.5</v>
      </c>
    </row>
    <row r="80" spans="1:7" x14ac:dyDescent="0.15">
      <c r="A80" s="3">
        <v>2013</v>
      </c>
      <c r="B80" s="3" t="s">
        <v>56</v>
      </c>
      <c r="C80" s="3">
        <v>6007</v>
      </c>
      <c r="E80" s="120" t="s">
        <v>139</v>
      </c>
      <c r="F80" s="3" t="s">
        <v>51</v>
      </c>
      <c r="G80" s="55">
        <f t="shared" si="9"/>
        <v>4437.5</v>
      </c>
    </row>
    <row r="81" spans="1:7" x14ac:dyDescent="0.15">
      <c r="A81" s="3">
        <v>2013</v>
      </c>
      <c r="B81" s="3" t="s">
        <v>71</v>
      </c>
      <c r="C81" s="3">
        <v>7360</v>
      </c>
      <c r="E81" s="120" t="s">
        <v>139</v>
      </c>
      <c r="F81" s="3" t="s">
        <v>46</v>
      </c>
      <c r="G81" s="55">
        <f t="shared" si="9"/>
        <v>1682</v>
      </c>
    </row>
    <row r="82" spans="1:7" x14ac:dyDescent="0.15">
      <c r="A82" s="3">
        <v>2013</v>
      </c>
      <c r="B82" s="3" t="s">
        <v>40</v>
      </c>
      <c r="C82" s="3">
        <v>8017</v>
      </c>
      <c r="E82" s="120">
        <v>2014</v>
      </c>
      <c r="F82" s="3" t="s">
        <v>35</v>
      </c>
      <c r="G82" s="55">
        <f>K15</f>
        <v>35751</v>
      </c>
    </row>
    <row r="83" spans="1:7" x14ac:dyDescent="0.15">
      <c r="A83" s="3">
        <v>2013</v>
      </c>
      <c r="B83" s="3" t="s">
        <v>251</v>
      </c>
      <c r="C83" s="3">
        <v>5512</v>
      </c>
      <c r="E83" s="120" t="s">
        <v>140</v>
      </c>
      <c r="F83" s="3" t="s">
        <v>56</v>
      </c>
      <c r="G83" s="55">
        <f>(C87+C94)/2</f>
        <v>5870</v>
      </c>
    </row>
    <row r="84" spans="1:7" x14ac:dyDescent="0.15">
      <c r="A84" s="3">
        <v>2013</v>
      </c>
      <c r="B84" s="3" t="s">
        <v>66</v>
      </c>
      <c r="C84" s="3">
        <v>3447</v>
      </c>
      <c r="E84" s="120" t="s">
        <v>140</v>
      </c>
      <c r="F84" s="3" t="s">
        <v>71</v>
      </c>
      <c r="G84" s="55">
        <f t="shared" ref="G84:G89" si="10">(C88+C95)/2</f>
        <v>6937.5</v>
      </c>
    </row>
    <row r="85" spans="1:7" x14ac:dyDescent="0.15">
      <c r="A85" s="3">
        <v>2013</v>
      </c>
      <c r="B85" s="3" t="s">
        <v>51</v>
      </c>
      <c r="C85" s="3">
        <v>4447</v>
      </c>
      <c r="E85" s="120" t="s">
        <v>140</v>
      </c>
      <c r="F85" s="3" t="s">
        <v>40</v>
      </c>
      <c r="G85" s="55">
        <f t="shared" si="10"/>
        <v>7765</v>
      </c>
    </row>
    <row r="86" spans="1:7" x14ac:dyDescent="0.15">
      <c r="A86" s="3">
        <v>2013</v>
      </c>
      <c r="B86" s="3" t="s">
        <v>46</v>
      </c>
      <c r="C86" s="3">
        <v>1630</v>
      </c>
      <c r="E86" s="120" t="s">
        <v>140</v>
      </c>
      <c r="F86" s="3" t="s">
        <v>61</v>
      </c>
      <c r="G86" s="55">
        <f t="shared" si="10"/>
        <v>5229</v>
      </c>
    </row>
    <row r="87" spans="1:7" x14ac:dyDescent="0.15">
      <c r="A87" s="3">
        <v>2014</v>
      </c>
      <c r="B87" s="3" t="s">
        <v>56</v>
      </c>
      <c r="C87" s="3">
        <v>5908</v>
      </c>
      <c r="E87" s="120" t="s">
        <v>140</v>
      </c>
      <c r="F87" s="3" t="s">
        <v>66</v>
      </c>
      <c r="G87" s="55">
        <f t="shared" si="10"/>
        <v>3425.5</v>
      </c>
    </row>
    <row r="88" spans="1:7" x14ac:dyDescent="0.15">
      <c r="A88" s="3">
        <v>2014</v>
      </c>
      <c r="B88" s="3" t="s">
        <v>71</v>
      </c>
      <c r="C88" s="3">
        <v>7010</v>
      </c>
      <c r="E88" s="120" t="s">
        <v>140</v>
      </c>
      <c r="F88" s="3" t="s">
        <v>51</v>
      </c>
      <c r="G88" s="55">
        <f t="shared" si="10"/>
        <v>4330</v>
      </c>
    </row>
    <row r="89" spans="1:7" x14ac:dyDescent="0.15">
      <c r="A89" s="3">
        <v>2014</v>
      </c>
      <c r="B89" s="3" t="s">
        <v>40</v>
      </c>
      <c r="C89" s="3">
        <v>7838</v>
      </c>
      <c r="E89" s="120" t="s">
        <v>140</v>
      </c>
      <c r="F89" s="3" t="s">
        <v>46</v>
      </c>
      <c r="G89" s="55">
        <f t="shared" si="10"/>
        <v>1624</v>
      </c>
    </row>
    <row r="90" spans="1:7" x14ac:dyDescent="0.15">
      <c r="A90" s="3">
        <v>2014</v>
      </c>
      <c r="B90" s="3" t="s">
        <v>251</v>
      </c>
      <c r="C90" s="3">
        <v>5301</v>
      </c>
      <c r="E90" s="120">
        <v>2015</v>
      </c>
      <c r="F90" s="3" t="s">
        <v>35</v>
      </c>
      <c r="G90" s="55">
        <f>K16</f>
        <v>34611</v>
      </c>
    </row>
    <row r="91" spans="1:7" x14ac:dyDescent="0.15">
      <c r="A91" s="3">
        <v>2014</v>
      </c>
      <c r="B91" s="3" t="s">
        <v>66</v>
      </c>
      <c r="C91" s="3">
        <v>3532</v>
      </c>
      <c r="E91" s="1">
        <v>2016</v>
      </c>
      <c r="F91" s="1" t="s">
        <v>56</v>
      </c>
      <c r="G91" s="1">
        <f>C101</f>
        <v>5811</v>
      </c>
    </row>
    <row r="92" spans="1:7" x14ac:dyDescent="0.15">
      <c r="A92" s="3">
        <v>2014</v>
      </c>
      <c r="B92" s="3" t="s">
        <v>51</v>
      </c>
      <c r="C92" s="3">
        <v>4428</v>
      </c>
      <c r="E92" s="1">
        <v>2016</v>
      </c>
      <c r="F92" s="1" t="s">
        <v>71</v>
      </c>
      <c r="G92" s="1">
        <f t="shared" ref="G92:G97" si="11">C102</f>
        <v>6605</v>
      </c>
    </row>
    <row r="93" spans="1:7" x14ac:dyDescent="0.15">
      <c r="A93" s="3">
        <v>2014</v>
      </c>
      <c r="B93" s="3" t="s">
        <v>46</v>
      </c>
      <c r="C93" s="3">
        <v>1734</v>
      </c>
      <c r="E93" s="1">
        <v>2016</v>
      </c>
      <c r="F93" s="1" t="s">
        <v>40</v>
      </c>
      <c r="G93" s="1">
        <f t="shared" si="11"/>
        <v>7538</v>
      </c>
    </row>
    <row r="94" spans="1:7" x14ac:dyDescent="0.15">
      <c r="A94" s="3">
        <v>2015</v>
      </c>
      <c r="B94" s="3" t="s">
        <v>56</v>
      </c>
      <c r="C94" s="3">
        <v>5832</v>
      </c>
      <c r="E94" s="1">
        <v>2016</v>
      </c>
      <c r="F94" s="1" t="s">
        <v>61</v>
      </c>
      <c r="G94" s="1">
        <f t="shared" si="11"/>
        <v>5023</v>
      </c>
    </row>
    <row r="95" spans="1:7" x14ac:dyDescent="0.15">
      <c r="A95" s="3">
        <v>2015</v>
      </c>
      <c r="B95" s="3" t="s">
        <v>71</v>
      </c>
      <c r="C95" s="3">
        <v>6865</v>
      </c>
      <c r="E95" s="1">
        <v>2016</v>
      </c>
      <c r="F95" s="1" t="s">
        <v>66</v>
      </c>
      <c r="G95" s="1">
        <f t="shared" si="11"/>
        <v>3237</v>
      </c>
    </row>
    <row r="96" spans="1:7" x14ac:dyDescent="0.15">
      <c r="A96" s="3">
        <v>2015</v>
      </c>
      <c r="B96" s="3" t="s">
        <v>40</v>
      </c>
      <c r="C96" s="3">
        <v>7692</v>
      </c>
      <c r="E96" s="1">
        <v>2016</v>
      </c>
      <c r="F96" s="1" t="s">
        <v>51</v>
      </c>
      <c r="G96" s="1">
        <f t="shared" si="11"/>
        <v>4258</v>
      </c>
    </row>
    <row r="97" spans="1:7" x14ac:dyDescent="0.15">
      <c r="A97" s="3">
        <v>2015</v>
      </c>
      <c r="B97" s="3" t="s">
        <v>251</v>
      </c>
      <c r="C97" s="3">
        <v>5157</v>
      </c>
      <c r="E97" s="1">
        <v>2016</v>
      </c>
      <c r="F97" s="1" t="s">
        <v>46</v>
      </c>
      <c r="G97" s="1">
        <f t="shared" si="11"/>
        <v>1424</v>
      </c>
    </row>
    <row r="98" spans="1:7" x14ac:dyDescent="0.15">
      <c r="A98" s="3">
        <v>2015</v>
      </c>
      <c r="B98" s="3" t="s">
        <v>66</v>
      </c>
      <c r="C98" s="3">
        <v>3319</v>
      </c>
      <c r="E98" s="1">
        <v>2016</v>
      </c>
      <c r="F98" s="1" t="s">
        <v>35</v>
      </c>
      <c r="G98" s="1">
        <f>K17</f>
        <v>33896</v>
      </c>
    </row>
    <row r="99" spans="1:7" x14ac:dyDescent="0.15">
      <c r="A99" s="3">
        <v>2015</v>
      </c>
      <c r="B99" s="3" t="s">
        <v>51</v>
      </c>
      <c r="C99" s="3">
        <v>4232</v>
      </c>
    </row>
    <row r="100" spans="1:7" x14ac:dyDescent="0.15">
      <c r="A100" s="3">
        <v>2015</v>
      </c>
      <c r="B100" s="3" t="s">
        <v>46</v>
      </c>
      <c r="C100" s="3">
        <v>1514</v>
      </c>
    </row>
    <row r="101" spans="1:7" x14ac:dyDescent="0.15">
      <c r="A101" s="1">
        <v>2016</v>
      </c>
      <c r="B101" s="1" t="s">
        <v>56</v>
      </c>
      <c r="C101" s="1">
        <v>5811</v>
      </c>
    </row>
    <row r="102" spans="1:7" x14ac:dyDescent="0.15">
      <c r="A102" s="1">
        <v>2016</v>
      </c>
      <c r="B102" s="1" t="s">
        <v>71</v>
      </c>
      <c r="C102" s="1">
        <v>6605</v>
      </c>
    </row>
    <row r="103" spans="1:7" x14ac:dyDescent="0.15">
      <c r="A103" s="1">
        <v>2016</v>
      </c>
      <c r="B103" s="1" t="s">
        <v>40</v>
      </c>
      <c r="C103" s="1">
        <v>7538</v>
      </c>
    </row>
    <row r="104" spans="1:7" x14ac:dyDescent="0.15">
      <c r="A104" s="1">
        <v>2016</v>
      </c>
      <c r="B104" s="1" t="s">
        <v>251</v>
      </c>
      <c r="C104" s="1">
        <v>5023</v>
      </c>
    </row>
    <row r="105" spans="1:7" x14ac:dyDescent="0.15">
      <c r="A105" s="1">
        <v>2016</v>
      </c>
      <c r="B105" s="1" t="s">
        <v>66</v>
      </c>
      <c r="C105" s="1">
        <v>3237</v>
      </c>
    </row>
    <row r="106" spans="1:7" x14ac:dyDescent="0.15">
      <c r="A106" s="1">
        <v>2016</v>
      </c>
      <c r="B106" s="1" t="s">
        <v>51</v>
      </c>
      <c r="C106" s="1">
        <v>4258</v>
      </c>
    </row>
    <row r="107" spans="1:7" x14ac:dyDescent="0.15">
      <c r="A107" s="1">
        <v>2016</v>
      </c>
      <c r="B107" s="1" t="s">
        <v>46</v>
      </c>
      <c r="C107" s="1">
        <v>1424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8:X39"/>
  <sheetViews>
    <sheetView showGridLines="0" showRowColHeaders="0" zoomScaleNormal="100" workbookViewId="0"/>
  </sheetViews>
  <sheetFormatPr defaultRowHeight="15" x14ac:dyDescent="0.25"/>
  <cols>
    <col min="1" max="1" width="4" style="146" customWidth="1"/>
    <col min="2" max="2" width="9.140625" style="146"/>
    <col min="3" max="3" width="21.42578125" style="146" customWidth="1"/>
    <col min="4" max="4" width="19.7109375" style="146" customWidth="1"/>
    <col min="5" max="5" width="20" style="146" customWidth="1"/>
    <col min="6" max="6" width="20.7109375" style="146" customWidth="1"/>
    <col min="7" max="7" width="9.140625" style="146" customWidth="1"/>
    <col min="8" max="9" width="9.140625" style="146"/>
    <col min="10" max="10" width="8.85546875" style="146" customWidth="1"/>
    <col min="11" max="11" width="9.140625" style="146" customWidth="1"/>
    <col min="12" max="12" width="19.28515625" style="146" customWidth="1"/>
    <col min="13" max="13" width="10.42578125" style="146" customWidth="1"/>
    <col min="14" max="14" width="10.28515625" style="146" customWidth="1"/>
    <col min="15" max="15" width="15" style="146" customWidth="1"/>
    <col min="16" max="21" width="9.140625" style="146"/>
    <col min="22" max="22" width="9.140625" style="146" customWidth="1"/>
    <col min="23" max="16384" width="9.140625" style="146"/>
  </cols>
  <sheetData>
    <row r="8" spans="1:24" x14ac:dyDescent="0.25">
      <c r="A8" s="152"/>
      <c r="B8" s="152"/>
      <c r="C8" s="152"/>
      <c r="D8" s="152"/>
      <c r="E8" s="152"/>
      <c r="F8" s="152"/>
      <c r="G8" s="152"/>
      <c r="H8" s="152"/>
      <c r="I8" s="152"/>
      <c r="J8" s="152"/>
      <c r="K8" s="152"/>
      <c r="L8" s="152"/>
      <c r="M8" s="152"/>
      <c r="N8" s="152"/>
      <c r="O8" s="152"/>
      <c r="P8" s="152"/>
      <c r="Q8" s="152"/>
      <c r="R8" s="152"/>
      <c r="S8" s="152"/>
      <c r="T8" s="152"/>
      <c r="U8" s="152"/>
      <c r="V8" s="152"/>
      <c r="W8" s="152"/>
      <c r="X8" s="152"/>
    </row>
    <row r="9" spans="1:24" x14ac:dyDescent="0.25">
      <c r="A9" s="152"/>
      <c r="B9" s="153" t="s">
        <v>255</v>
      </c>
      <c r="C9" s="152"/>
      <c r="D9" s="152"/>
      <c r="E9" s="152"/>
      <c r="F9" s="152"/>
      <c r="G9" s="152"/>
      <c r="H9" s="152"/>
      <c r="I9" s="152"/>
      <c r="J9" s="152"/>
      <c r="K9" s="152"/>
      <c r="L9" s="152"/>
      <c r="M9" s="152"/>
      <c r="N9" s="152"/>
      <c r="O9" s="152"/>
      <c r="P9" s="152"/>
      <c r="Q9" s="152"/>
      <c r="R9" s="152"/>
      <c r="S9" s="152"/>
      <c r="T9" s="152"/>
      <c r="U9" s="152"/>
      <c r="V9" s="152"/>
      <c r="W9" s="152"/>
      <c r="X9" s="152"/>
    </row>
    <row r="10" spans="1:24" x14ac:dyDescent="0.25">
      <c r="A10" s="152"/>
      <c r="B10" s="152"/>
      <c r="C10" s="152"/>
      <c r="D10" s="152"/>
      <c r="E10" s="152"/>
      <c r="F10" s="152"/>
      <c r="G10" s="152"/>
      <c r="H10" s="152"/>
      <c r="I10" s="152"/>
      <c r="J10" s="152"/>
      <c r="K10" s="190" t="str">
        <f>'NSW Controls'!B69</f>
        <v>Projected values based on user inputs, Wales, 2017 to 2039</v>
      </c>
      <c r="L10" s="190"/>
      <c r="M10" s="190"/>
      <c r="N10" s="190"/>
      <c r="O10" s="190"/>
      <c r="P10" s="152"/>
      <c r="Q10" s="152"/>
      <c r="R10" s="152"/>
      <c r="S10" s="152"/>
      <c r="T10" s="152"/>
      <c r="U10" s="152"/>
      <c r="V10" s="152"/>
      <c r="W10" s="152"/>
      <c r="X10" s="152"/>
    </row>
    <row r="11" spans="1:24" ht="15" customHeight="1" x14ac:dyDescent="0.25">
      <c r="A11" s="152"/>
      <c r="B11" s="154" t="s">
        <v>256</v>
      </c>
      <c r="C11" s="152"/>
      <c r="D11" s="152"/>
      <c r="E11" s="152"/>
      <c r="F11" s="152"/>
      <c r="G11" s="152"/>
      <c r="H11" s="152"/>
      <c r="I11" s="152"/>
      <c r="J11" s="152"/>
      <c r="K11" s="191"/>
      <c r="L11" s="191"/>
      <c r="M11" s="191"/>
      <c r="N11" s="191"/>
      <c r="O11" s="191"/>
      <c r="P11" s="152"/>
      <c r="Q11" s="152"/>
      <c r="R11" s="152"/>
      <c r="S11" s="152"/>
      <c r="T11" s="152"/>
      <c r="U11" s="152"/>
      <c r="V11" s="152"/>
      <c r="W11" s="152"/>
      <c r="X11" s="152"/>
    </row>
    <row r="12" spans="1:24" ht="26.25" customHeight="1" x14ac:dyDescent="0.25">
      <c r="A12" s="152"/>
      <c r="B12" s="152"/>
      <c r="C12" s="152"/>
      <c r="D12" s="155" t="s">
        <v>261</v>
      </c>
      <c r="E12" s="155" t="s">
        <v>268</v>
      </c>
      <c r="F12" s="155" t="s">
        <v>315</v>
      </c>
      <c r="G12" s="152"/>
      <c r="H12" s="152"/>
      <c r="I12" s="152"/>
      <c r="J12" s="152"/>
      <c r="K12" s="156" t="s">
        <v>284</v>
      </c>
      <c r="L12" s="156" t="s">
        <v>322</v>
      </c>
      <c r="M12" s="156" t="s">
        <v>285</v>
      </c>
      <c r="N12" s="156" t="s">
        <v>286</v>
      </c>
      <c r="O12" s="156" t="s">
        <v>287</v>
      </c>
      <c r="P12" s="152"/>
      <c r="Q12" s="152"/>
      <c r="R12" s="152"/>
      <c r="S12" s="152"/>
      <c r="T12" s="152"/>
      <c r="U12" s="152"/>
      <c r="V12" s="152"/>
      <c r="W12" s="152"/>
      <c r="X12" s="152"/>
    </row>
    <row r="13" spans="1:24" ht="16.5" customHeight="1" x14ac:dyDescent="0.25">
      <c r="A13" s="152"/>
      <c r="B13" s="194" t="s">
        <v>257</v>
      </c>
      <c r="C13" s="194"/>
      <c r="D13" s="152"/>
      <c r="E13" s="152"/>
      <c r="F13" s="152"/>
      <c r="G13" s="152"/>
      <c r="H13" s="152"/>
      <c r="I13" s="152"/>
      <c r="J13" s="152"/>
      <c r="K13" s="157">
        <f>'NSW Calculations'!A20</f>
        <v>2017</v>
      </c>
      <c r="L13" s="158">
        <f>'NSW Calculations'!G20</f>
        <v>18.291867473945281</v>
      </c>
      <c r="M13" s="159">
        <f>'NSW Calculations'!I20</f>
        <v>2.5</v>
      </c>
      <c r="N13" s="160">
        <f>ROUND('NSW Calculations'!J19,-1)</f>
        <v>11910</v>
      </c>
      <c r="O13" s="161">
        <f>N13</f>
        <v>11910</v>
      </c>
      <c r="P13" s="152"/>
      <c r="Q13" s="152"/>
      <c r="R13" s="152"/>
      <c r="S13" s="152"/>
      <c r="T13" s="152"/>
      <c r="U13" s="152"/>
      <c r="V13" s="152"/>
      <c r="W13" s="152"/>
      <c r="X13" s="152"/>
    </row>
    <row r="14" spans="1:24" ht="16.5" customHeight="1" x14ac:dyDescent="0.25">
      <c r="A14" s="152"/>
      <c r="B14" s="194" t="s">
        <v>258</v>
      </c>
      <c r="C14" s="194"/>
      <c r="D14" s="152"/>
      <c r="E14" s="152"/>
      <c r="F14" s="152"/>
      <c r="G14" s="152"/>
      <c r="H14" s="152"/>
      <c r="I14" s="152"/>
      <c r="J14" s="152"/>
      <c r="K14" s="157">
        <f>'NSW Calculations'!A21</f>
        <v>2018</v>
      </c>
      <c r="L14" s="158">
        <f>'NSW Calculations'!G21</f>
        <v>17.962306922734051</v>
      </c>
      <c r="M14" s="159">
        <f>'NSW Calculations'!I21</f>
        <v>2.5</v>
      </c>
      <c r="N14" s="160">
        <f>ROUND('NSW Calculations'!J20,-1)</f>
        <v>11720</v>
      </c>
      <c r="O14" s="161">
        <f>N14+O13</f>
        <v>23630</v>
      </c>
      <c r="P14" s="152"/>
      <c r="Q14" s="152"/>
      <c r="R14" s="152"/>
      <c r="S14" s="152"/>
      <c r="T14" s="152"/>
      <c r="U14" s="152"/>
      <c r="V14" s="152"/>
      <c r="W14" s="152"/>
      <c r="X14" s="152"/>
    </row>
    <row r="15" spans="1:24" ht="16.5" customHeight="1" x14ac:dyDescent="0.25">
      <c r="A15" s="152"/>
      <c r="B15" s="194" t="s">
        <v>259</v>
      </c>
      <c r="C15" s="194"/>
      <c r="D15" s="152"/>
      <c r="E15" s="152"/>
      <c r="F15" s="152"/>
      <c r="G15" s="152"/>
      <c r="H15" s="152"/>
      <c r="I15" s="152"/>
      <c r="J15" s="152"/>
      <c r="K15" s="157">
        <f>'NSW Calculations'!A22</f>
        <v>2019</v>
      </c>
      <c r="L15" s="158">
        <f>'NSW Calculations'!G22</f>
        <v>17.645368051487882</v>
      </c>
      <c r="M15" s="159">
        <f>'NSW Calculations'!I22</f>
        <v>2.5</v>
      </c>
      <c r="N15" s="160">
        <f>ROUND('NSW Calculations'!J21,-1)</f>
        <v>11540</v>
      </c>
      <c r="O15" s="161">
        <f t="shared" ref="O15:O35" si="0">N15+O14</f>
        <v>35170</v>
      </c>
      <c r="P15" s="152"/>
      <c r="Q15" s="152"/>
      <c r="R15" s="152"/>
      <c r="S15" s="152"/>
      <c r="T15" s="152"/>
      <c r="U15" s="152"/>
      <c r="V15" s="152"/>
      <c r="W15" s="152"/>
      <c r="X15" s="152"/>
    </row>
    <row r="16" spans="1:24" ht="16.5" customHeight="1" x14ac:dyDescent="0.25">
      <c r="A16" s="152"/>
      <c r="B16" s="162" t="s">
        <v>260</v>
      </c>
      <c r="C16" s="152"/>
      <c r="D16" s="162" t="s">
        <v>262</v>
      </c>
      <c r="E16" s="162" t="s">
        <v>263</v>
      </c>
      <c r="F16" s="152"/>
      <c r="G16" s="152"/>
      <c r="H16" s="152"/>
      <c r="I16" s="152"/>
      <c r="J16" s="152"/>
      <c r="K16" s="157">
        <f>'NSW Calculations'!A23</f>
        <v>2020</v>
      </c>
      <c r="L16" s="158">
        <f>'NSW Calculations'!G23</f>
        <v>17.339951402796256</v>
      </c>
      <c r="M16" s="159">
        <f>'NSW Calculations'!I23</f>
        <v>2.5</v>
      </c>
      <c r="N16" s="160">
        <f>ROUND('NSW Calculations'!J22,-1)</f>
        <v>11360</v>
      </c>
      <c r="O16" s="161">
        <f t="shared" si="0"/>
        <v>46530</v>
      </c>
      <c r="P16" s="152"/>
      <c r="Q16" s="152"/>
      <c r="R16" s="152"/>
      <c r="S16" s="152"/>
      <c r="T16" s="152"/>
      <c r="U16" s="152"/>
      <c r="V16" s="152"/>
      <c r="W16" s="152"/>
      <c r="X16" s="152"/>
    </row>
    <row r="17" spans="1:24" ht="16.5" customHeight="1" x14ac:dyDescent="0.25">
      <c r="A17" s="152"/>
      <c r="B17" s="152"/>
      <c r="C17" s="152"/>
      <c r="D17" s="152"/>
      <c r="E17" s="152"/>
      <c r="F17" s="152"/>
      <c r="G17" s="152"/>
      <c r="H17" s="152"/>
      <c r="I17" s="152"/>
      <c r="J17" s="152"/>
      <c r="K17" s="157">
        <f>'NSW Calculations'!A24</f>
        <v>2021</v>
      </c>
      <c r="L17" s="158">
        <f>'NSW Calculations'!G24</f>
        <v>17.043532885406837</v>
      </c>
      <c r="M17" s="159">
        <f>'NSW Calculations'!I24</f>
        <v>2.5</v>
      </c>
      <c r="N17" s="160">
        <f>ROUND('NSW Calculations'!J23,-1)</f>
        <v>11190</v>
      </c>
      <c r="O17" s="161">
        <f t="shared" si="0"/>
        <v>57720</v>
      </c>
      <c r="P17" s="152"/>
      <c r="Q17" s="152"/>
      <c r="R17" s="152"/>
      <c r="S17" s="152"/>
      <c r="T17" s="152"/>
      <c r="U17" s="152"/>
      <c r="V17" s="152"/>
      <c r="W17" s="152"/>
      <c r="X17" s="152"/>
    </row>
    <row r="18" spans="1:24" ht="16.5" customHeight="1" x14ac:dyDescent="0.25">
      <c r="A18" s="152"/>
      <c r="B18" s="152"/>
      <c r="C18" s="152"/>
      <c r="D18" s="152"/>
      <c r="E18" s="152"/>
      <c r="F18" s="152"/>
      <c r="G18" s="152"/>
      <c r="H18" s="152"/>
      <c r="I18" s="152"/>
      <c r="J18" s="152"/>
      <c r="K18" s="157">
        <f>'NSW Calculations'!A25</f>
        <v>2022</v>
      </c>
      <c r="L18" s="158">
        <f>'NSW Calculations'!G25</f>
        <v>16.753814151480263</v>
      </c>
      <c r="M18" s="159">
        <f>'NSW Calculations'!I25</f>
        <v>2.5</v>
      </c>
      <c r="N18" s="160">
        <f>ROUND('NSW Calculations'!J24,-1)</f>
        <v>11030</v>
      </c>
      <c r="O18" s="161">
        <f t="shared" si="0"/>
        <v>68750</v>
      </c>
      <c r="P18" s="152"/>
      <c r="Q18" s="152"/>
      <c r="R18" s="152"/>
      <c r="S18" s="152"/>
      <c r="T18" s="152"/>
      <c r="U18" s="152"/>
      <c r="V18" s="152"/>
      <c r="W18" s="152"/>
      <c r="X18" s="152"/>
    </row>
    <row r="19" spans="1:24" ht="16.5" customHeight="1" x14ac:dyDescent="0.25">
      <c r="A19" s="152"/>
      <c r="B19" s="152"/>
      <c r="C19" s="152"/>
      <c r="D19" s="152"/>
      <c r="E19" s="152"/>
      <c r="F19" s="152"/>
      <c r="G19" s="152"/>
      <c r="H19" s="152"/>
      <c r="I19" s="152"/>
      <c r="J19" s="152"/>
      <c r="K19" s="157">
        <f>'NSW Calculations'!A26</f>
        <v>2023</v>
      </c>
      <c r="L19" s="158">
        <f>'NSW Calculations'!G26</f>
        <v>16.472821903044434</v>
      </c>
      <c r="M19" s="159">
        <f>'NSW Calculations'!I26</f>
        <v>2.5</v>
      </c>
      <c r="N19" s="160">
        <f>ROUND('NSW Calculations'!J25,-1)</f>
        <v>10870</v>
      </c>
      <c r="O19" s="161">
        <f t="shared" si="0"/>
        <v>79620</v>
      </c>
      <c r="P19" s="152"/>
      <c r="Q19" s="152"/>
      <c r="R19" s="152"/>
      <c r="S19" s="152"/>
      <c r="T19" s="152"/>
      <c r="U19" s="152"/>
      <c r="V19" s="152"/>
      <c r="W19" s="152"/>
      <c r="X19" s="152"/>
    </row>
    <row r="20" spans="1:24" ht="16.5" customHeight="1" x14ac:dyDescent="0.25">
      <c r="A20" s="152"/>
      <c r="B20" s="152"/>
      <c r="C20" s="152"/>
      <c r="D20" s="152"/>
      <c r="E20" s="152"/>
      <c r="F20" s="152"/>
      <c r="G20" s="152"/>
      <c r="H20" s="152"/>
      <c r="I20" s="152"/>
      <c r="J20" s="152"/>
      <c r="K20" s="157">
        <f>'NSW Calculations'!A27</f>
        <v>2024</v>
      </c>
      <c r="L20" s="158">
        <f>'NSW Calculations'!G27</f>
        <v>16.197476529670041</v>
      </c>
      <c r="M20" s="159">
        <f>'NSW Calculations'!I27</f>
        <v>2.5</v>
      </c>
      <c r="N20" s="160">
        <f>ROUND('NSW Calculations'!J26,-1)</f>
        <v>10730</v>
      </c>
      <c r="O20" s="161">
        <f t="shared" si="0"/>
        <v>90350</v>
      </c>
      <c r="P20" s="152"/>
      <c r="Q20" s="152"/>
      <c r="R20" s="152"/>
      <c r="S20" s="152"/>
      <c r="T20" s="152"/>
      <c r="U20" s="152"/>
      <c r="V20" s="152"/>
      <c r="W20" s="152"/>
      <c r="X20" s="152"/>
    </row>
    <row r="21" spans="1:24" ht="16.5" customHeight="1" x14ac:dyDescent="0.25">
      <c r="A21" s="152"/>
      <c r="B21" s="152"/>
      <c r="C21" s="152"/>
      <c r="D21" s="152"/>
      <c r="E21" s="152"/>
      <c r="F21" s="152"/>
      <c r="G21" s="152"/>
      <c r="H21" s="152"/>
      <c r="I21" s="152"/>
      <c r="J21" s="152"/>
      <c r="K21" s="157">
        <f>'NSW Calculations'!A28</f>
        <v>2025</v>
      </c>
      <c r="L21" s="158">
        <f>'NSW Calculations'!G28</f>
        <v>15.933663497675981</v>
      </c>
      <c r="M21" s="159">
        <f>'NSW Calculations'!I28</f>
        <v>2.5</v>
      </c>
      <c r="N21" s="160">
        <f>ROUND('NSW Calculations'!J27,-1)</f>
        <v>10590</v>
      </c>
      <c r="O21" s="161">
        <f t="shared" si="0"/>
        <v>100940</v>
      </c>
      <c r="P21" s="152"/>
      <c r="Q21" s="152"/>
      <c r="R21" s="152"/>
      <c r="S21" s="152"/>
      <c r="T21" s="152"/>
      <c r="U21" s="152"/>
      <c r="V21" s="152"/>
      <c r="W21" s="152"/>
      <c r="X21" s="152"/>
    </row>
    <row r="22" spans="1:24" ht="16.5" customHeight="1" x14ac:dyDescent="0.25">
      <c r="A22" s="152"/>
      <c r="B22" s="152"/>
      <c r="C22" s="152"/>
      <c r="D22" s="152"/>
      <c r="E22" s="152"/>
      <c r="F22" s="152"/>
      <c r="G22" s="152"/>
      <c r="H22" s="152"/>
      <c r="I22" s="152"/>
      <c r="J22" s="152"/>
      <c r="K22" s="157">
        <f>'NSW Calculations'!A29</f>
        <v>2026</v>
      </c>
      <c r="L22" s="158">
        <f>'NSW Calculations'!G29</f>
        <v>15.677984074450176</v>
      </c>
      <c r="M22" s="159">
        <f>'NSW Calculations'!I29</f>
        <v>2.5</v>
      </c>
      <c r="N22" s="160">
        <f>ROUND('NSW Calculations'!J28,-1)</f>
        <v>10450</v>
      </c>
      <c r="O22" s="161">
        <f t="shared" si="0"/>
        <v>111390</v>
      </c>
      <c r="P22" s="152"/>
      <c r="Q22" s="152"/>
      <c r="R22" s="152"/>
      <c r="S22" s="152"/>
      <c r="T22" s="152"/>
      <c r="U22" s="152"/>
      <c r="V22" s="152"/>
      <c r="W22" s="152"/>
      <c r="X22" s="152"/>
    </row>
    <row r="23" spans="1:24" ht="16.5" customHeight="1" x14ac:dyDescent="0.25">
      <c r="A23" s="152"/>
      <c r="B23" s="152"/>
      <c r="C23" s="152"/>
      <c r="D23" s="152"/>
      <c r="E23" s="152"/>
      <c r="F23" s="152"/>
      <c r="G23" s="152"/>
      <c r="H23" s="152"/>
      <c r="I23" s="152"/>
      <c r="J23" s="152"/>
      <c r="K23" s="157">
        <f>'NSW Calculations'!A30</f>
        <v>2027</v>
      </c>
      <c r="L23" s="158">
        <f>'NSW Calculations'!G30</f>
        <v>15.430190114087209</v>
      </c>
      <c r="M23" s="159">
        <f>'NSW Calculations'!I30</f>
        <v>2.5</v>
      </c>
      <c r="N23" s="160">
        <f>ROUND('NSW Calculations'!J29,-1)</f>
        <v>10320</v>
      </c>
      <c r="O23" s="161">
        <f t="shared" si="0"/>
        <v>121710</v>
      </c>
      <c r="P23" s="152"/>
      <c r="Q23" s="152"/>
      <c r="R23" s="152"/>
      <c r="S23" s="152"/>
      <c r="T23" s="152"/>
      <c r="U23" s="152"/>
      <c r="V23" s="152"/>
      <c r="W23" s="152"/>
      <c r="X23" s="152"/>
    </row>
    <row r="24" spans="1:24" ht="16.5" customHeight="1" x14ac:dyDescent="0.25">
      <c r="A24" s="152"/>
      <c r="B24" s="152"/>
      <c r="C24" s="152"/>
      <c r="D24" s="152"/>
      <c r="E24" s="152"/>
      <c r="F24" s="152"/>
      <c r="G24" s="152"/>
      <c r="H24" s="152"/>
      <c r="I24" s="152"/>
      <c r="J24" s="152"/>
      <c r="K24" s="157">
        <f>'NSW Calculations'!A31</f>
        <v>2028</v>
      </c>
      <c r="L24" s="158">
        <f>'NSW Calculations'!G31</f>
        <v>15.19451661259501</v>
      </c>
      <c r="M24" s="159">
        <f>'NSW Calculations'!I31</f>
        <v>2.5</v>
      </c>
      <c r="N24" s="160">
        <f>ROUND('NSW Calculations'!J30,-1)</f>
        <v>10200</v>
      </c>
      <c r="O24" s="161">
        <f t="shared" si="0"/>
        <v>131910</v>
      </c>
      <c r="P24" s="152"/>
      <c r="Q24" s="152"/>
      <c r="R24" s="152"/>
      <c r="S24" s="152"/>
      <c r="T24" s="152"/>
      <c r="U24" s="152"/>
      <c r="V24" s="152"/>
      <c r="W24" s="152"/>
      <c r="X24" s="152"/>
    </row>
    <row r="25" spans="1:24" ht="16.5" customHeight="1" x14ac:dyDescent="0.25">
      <c r="A25" s="152"/>
      <c r="B25" s="152"/>
      <c r="C25" s="152"/>
      <c r="D25" s="152"/>
      <c r="E25" s="152"/>
      <c r="F25" s="152"/>
      <c r="G25" s="152"/>
      <c r="H25" s="152"/>
      <c r="I25" s="152"/>
      <c r="J25" s="152"/>
      <c r="K25" s="157">
        <f>'NSW Calculations'!A32</f>
        <v>2029</v>
      </c>
      <c r="L25" s="158">
        <f>'NSW Calculations'!G32</f>
        <v>14.972227068380898</v>
      </c>
      <c r="M25" s="159">
        <f>'NSW Calculations'!I32</f>
        <v>2.5</v>
      </c>
      <c r="N25" s="160">
        <f>ROUND('NSW Calculations'!J31,-1)</f>
        <v>10080</v>
      </c>
      <c r="O25" s="161">
        <f t="shared" si="0"/>
        <v>141990</v>
      </c>
      <c r="P25" s="152"/>
      <c r="Q25" s="152"/>
      <c r="R25" s="152"/>
      <c r="S25" s="152"/>
      <c r="T25" s="152"/>
      <c r="U25" s="152"/>
      <c r="V25" s="152"/>
      <c r="W25" s="152"/>
      <c r="X25" s="152"/>
    </row>
    <row r="26" spans="1:24" ht="16.5" customHeight="1" x14ac:dyDescent="0.25">
      <c r="A26" s="152"/>
      <c r="B26" s="152"/>
      <c r="C26" s="152"/>
      <c r="D26" s="152"/>
      <c r="E26" s="152"/>
      <c r="F26" s="152"/>
      <c r="G26" s="152"/>
      <c r="H26" s="152"/>
      <c r="I26" s="152"/>
      <c r="J26" s="152"/>
      <c r="K26" s="157">
        <f>'NSW Calculations'!A33</f>
        <v>2030</v>
      </c>
      <c r="L26" s="158">
        <f>'NSW Calculations'!G33</f>
        <v>14.762181697932981</v>
      </c>
      <c r="M26" s="159">
        <f>'NSW Calculations'!I33</f>
        <v>2.5</v>
      </c>
      <c r="N26" s="160">
        <f>ROUND('NSW Calculations'!J32,-1)</f>
        <v>9960</v>
      </c>
      <c r="O26" s="161">
        <f t="shared" si="0"/>
        <v>151950</v>
      </c>
      <c r="P26" s="152"/>
      <c r="Q26" s="152"/>
      <c r="R26" s="152"/>
      <c r="S26" s="152"/>
      <c r="T26" s="152"/>
      <c r="U26" s="152"/>
      <c r="V26" s="152"/>
      <c r="W26" s="152"/>
      <c r="X26" s="152"/>
    </row>
    <row r="27" spans="1:24" ht="16.5" customHeight="1" x14ac:dyDescent="0.25">
      <c r="A27" s="152"/>
      <c r="B27" s="152"/>
      <c r="C27" s="152"/>
      <c r="D27" s="152"/>
      <c r="E27" s="152"/>
      <c r="F27" s="152"/>
      <c r="G27" s="152"/>
      <c r="H27" s="152"/>
      <c r="I27" s="152"/>
      <c r="J27" s="152"/>
      <c r="K27" s="157">
        <f>'NSW Calculations'!A34</f>
        <v>2031</v>
      </c>
      <c r="L27" s="158">
        <f>'NSW Calculations'!G34</f>
        <v>14.562183020290053</v>
      </c>
      <c r="M27" s="159">
        <f>'NSW Calculations'!I34</f>
        <v>2.5</v>
      </c>
      <c r="N27" s="160">
        <f>ROUND('NSW Calculations'!J33,-1)</f>
        <v>9850</v>
      </c>
      <c r="O27" s="161">
        <f t="shared" si="0"/>
        <v>161800</v>
      </c>
      <c r="P27" s="152"/>
      <c r="Q27" s="152"/>
      <c r="R27" s="152"/>
      <c r="S27" s="152"/>
      <c r="T27" s="152"/>
      <c r="U27" s="152"/>
      <c r="V27" s="152"/>
      <c r="W27" s="152"/>
      <c r="X27" s="152"/>
    </row>
    <row r="28" spans="1:24" ht="16.5" customHeight="1" x14ac:dyDescent="0.25">
      <c r="A28" s="152"/>
      <c r="B28" s="152"/>
      <c r="C28" s="152"/>
      <c r="D28" s="152"/>
      <c r="E28" s="152"/>
      <c r="F28" s="152"/>
      <c r="G28" s="152"/>
      <c r="H28" s="152"/>
      <c r="I28" s="152"/>
      <c r="J28" s="152"/>
      <c r="K28" s="157">
        <f>'NSW Calculations'!A35</f>
        <v>2032</v>
      </c>
      <c r="L28" s="158">
        <f>'NSW Calculations'!G35</f>
        <v>14.371383469796751</v>
      </c>
      <c r="M28" s="159">
        <f>'NSW Calculations'!I35</f>
        <v>2.5</v>
      </c>
      <c r="N28" s="160">
        <f>ROUND('NSW Calculations'!J34,-1)</f>
        <v>9740</v>
      </c>
      <c r="O28" s="161">
        <f t="shared" si="0"/>
        <v>171540</v>
      </c>
      <c r="P28" s="152"/>
      <c r="Q28" s="152"/>
      <c r="R28" s="152"/>
      <c r="S28" s="152"/>
      <c r="T28" s="152"/>
      <c r="U28" s="152"/>
      <c r="V28" s="152"/>
      <c r="W28" s="152"/>
      <c r="X28" s="152"/>
    </row>
    <row r="29" spans="1:24" ht="16.5" customHeight="1" x14ac:dyDescent="0.25">
      <c r="A29" s="152"/>
      <c r="B29" s="152"/>
      <c r="C29" s="152"/>
      <c r="D29" s="152"/>
      <c r="E29" s="152"/>
      <c r="F29" s="152"/>
      <c r="G29" s="152"/>
      <c r="H29" s="152"/>
      <c r="I29" s="152"/>
      <c r="J29" s="152"/>
      <c r="K29" s="157">
        <f>'NSW Calculations'!A36</f>
        <v>2033</v>
      </c>
      <c r="L29" s="158">
        <f>'NSW Calculations'!G36</f>
        <v>14.189437637812427</v>
      </c>
      <c r="M29" s="159">
        <f>'NSW Calculations'!I36</f>
        <v>2.5</v>
      </c>
      <c r="N29" s="160">
        <f>ROUND('NSW Calculations'!J35,-1)</f>
        <v>9630</v>
      </c>
      <c r="O29" s="161">
        <f t="shared" si="0"/>
        <v>181170</v>
      </c>
      <c r="P29" s="152"/>
      <c r="Q29" s="152"/>
      <c r="R29" s="152"/>
      <c r="S29" s="152"/>
      <c r="T29" s="152"/>
      <c r="U29" s="152"/>
      <c r="V29" s="152"/>
      <c r="W29" s="152"/>
      <c r="X29" s="152"/>
    </row>
    <row r="30" spans="1:24" ht="16.5" customHeight="1" x14ac:dyDescent="0.25">
      <c r="A30" s="152"/>
      <c r="B30" s="152"/>
      <c r="C30" s="152"/>
      <c r="D30" s="152"/>
      <c r="E30" s="152"/>
      <c r="F30" s="152"/>
      <c r="G30" s="152"/>
      <c r="H30" s="152"/>
      <c r="I30" s="152"/>
      <c r="J30" s="152"/>
      <c r="K30" s="157">
        <f>'NSW Calculations'!A37</f>
        <v>2034</v>
      </c>
      <c r="L30" s="158">
        <f>'NSW Calculations'!G37</f>
        <v>14.016219042152745</v>
      </c>
      <c r="M30" s="159">
        <f>'NSW Calculations'!I37</f>
        <v>2.5</v>
      </c>
      <c r="N30" s="160">
        <f>ROUND('NSW Calculations'!J36,-1)</f>
        <v>9530</v>
      </c>
      <c r="O30" s="161">
        <f t="shared" si="0"/>
        <v>190700</v>
      </c>
      <c r="P30" s="152"/>
      <c r="Q30" s="152"/>
      <c r="R30" s="152"/>
      <c r="S30" s="152"/>
      <c r="T30" s="152"/>
      <c r="U30" s="152"/>
      <c r="V30" s="152"/>
      <c r="W30" s="152"/>
      <c r="X30" s="152"/>
    </row>
    <row r="31" spans="1:24" ht="16.5" customHeight="1" x14ac:dyDescent="0.25">
      <c r="A31" s="152"/>
      <c r="B31" s="152"/>
      <c r="C31" s="152"/>
      <c r="D31" s="152"/>
      <c r="E31" s="152"/>
      <c r="F31" s="152"/>
      <c r="G31" s="152"/>
      <c r="H31" s="152"/>
      <c r="I31" s="152"/>
      <c r="J31" s="152"/>
      <c r="K31" s="157">
        <f>'NSW Calculations'!A38</f>
        <v>2035</v>
      </c>
      <c r="L31" s="158">
        <f>'NSW Calculations'!G38</f>
        <v>13.850630001800274</v>
      </c>
      <c r="M31" s="159">
        <f>'NSW Calculations'!I38</f>
        <v>2.5</v>
      </c>
      <c r="N31" s="160">
        <f>ROUND('NSW Calculations'!J37,-1)</f>
        <v>9430</v>
      </c>
      <c r="O31" s="161">
        <f t="shared" si="0"/>
        <v>200130</v>
      </c>
      <c r="P31" s="152"/>
      <c r="Q31" s="152"/>
      <c r="R31" s="152"/>
      <c r="S31" s="152"/>
      <c r="T31" s="152"/>
      <c r="U31" s="152"/>
      <c r="V31" s="152"/>
      <c r="W31" s="152"/>
      <c r="X31" s="152"/>
    </row>
    <row r="32" spans="1:24" ht="16.5" customHeight="1" x14ac:dyDescent="0.25">
      <c r="A32" s="152"/>
      <c r="B32" s="152"/>
      <c r="C32" s="152"/>
      <c r="D32" s="152"/>
      <c r="E32" s="152"/>
      <c r="F32" s="152"/>
      <c r="G32" s="152"/>
      <c r="H32" s="152"/>
      <c r="I32" s="152"/>
      <c r="J32" s="152"/>
      <c r="K32" s="157">
        <f>'NSW Calculations'!A39</f>
        <v>2036</v>
      </c>
      <c r="L32" s="158">
        <f>'NSW Calculations'!G39</f>
        <v>13.691903710522649</v>
      </c>
      <c r="M32" s="159">
        <f>'NSW Calculations'!I39</f>
        <v>2.5</v>
      </c>
      <c r="N32" s="160">
        <f>ROUND('NSW Calculations'!J38,-1)</f>
        <v>9330</v>
      </c>
      <c r="O32" s="161">
        <f t="shared" si="0"/>
        <v>209460</v>
      </c>
      <c r="P32" s="152"/>
      <c r="Q32" s="152"/>
      <c r="R32" s="152"/>
      <c r="S32" s="152"/>
      <c r="T32" s="152"/>
      <c r="U32" s="152"/>
      <c r="V32" s="152"/>
      <c r="W32" s="152"/>
      <c r="X32" s="152"/>
    </row>
    <row r="33" spans="1:24" ht="16.5" customHeight="1" x14ac:dyDescent="0.25">
      <c r="A33" s="152"/>
      <c r="B33" s="152"/>
      <c r="C33" s="152"/>
      <c r="D33" s="152"/>
      <c r="E33" s="152"/>
      <c r="F33" s="152"/>
      <c r="G33" s="152"/>
      <c r="H33" s="152"/>
      <c r="I33" s="152"/>
      <c r="J33" s="152"/>
      <c r="K33" s="157">
        <f>'NSW Calculations'!A40</f>
        <v>2037</v>
      </c>
      <c r="L33" s="158">
        <f>'NSW Calculations'!G40</f>
        <v>13.539553444895096</v>
      </c>
      <c r="M33" s="159">
        <f>'NSW Calculations'!I40</f>
        <v>2.5</v>
      </c>
      <c r="N33" s="160">
        <f>ROUND('NSW Calculations'!J39,-1)</f>
        <v>9240</v>
      </c>
      <c r="O33" s="161">
        <f t="shared" si="0"/>
        <v>218700</v>
      </c>
      <c r="P33" s="152"/>
      <c r="Q33" s="152"/>
      <c r="R33" s="152"/>
      <c r="S33" s="152"/>
      <c r="T33" s="152"/>
      <c r="U33" s="152"/>
      <c r="V33" s="152"/>
      <c r="W33" s="152"/>
      <c r="X33" s="152"/>
    </row>
    <row r="34" spans="1:24" ht="16.5" customHeight="1" x14ac:dyDescent="0.25">
      <c r="A34" s="152"/>
      <c r="B34" s="152"/>
      <c r="C34" s="152"/>
      <c r="D34" s="152"/>
      <c r="E34" s="152"/>
      <c r="F34" s="152"/>
      <c r="G34" s="152"/>
      <c r="H34" s="152"/>
      <c r="I34" s="152"/>
      <c r="J34" s="152"/>
      <c r="K34" s="157">
        <f>'NSW Calculations'!A41</f>
        <v>2038</v>
      </c>
      <c r="L34" s="158">
        <f>'NSW Calculations'!G41</f>
        <v>13.393184150389578</v>
      </c>
      <c r="M34" s="159">
        <f>'NSW Calculations'!I41</f>
        <v>2.5</v>
      </c>
      <c r="N34" s="160">
        <f>ROUND('NSW Calculations'!J40,-1)</f>
        <v>9150</v>
      </c>
      <c r="O34" s="161">
        <f t="shared" si="0"/>
        <v>227850</v>
      </c>
      <c r="P34" s="152"/>
      <c r="Q34" s="152"/>
      <c r="R34" s="152"/>
      <c r="S34" s="152"/>
      <c r="T34" s="152"/>
      <c r="U34" s="152"/>
      <c r="V34" s="152"/>
      <c r="W34" s="152"/>
      <c r="X34" s="152"/>
    </row>
    <row r="35" spans="1:24" ht="16.5" customHeight="1" x14ac:dyDescent="0.25">
      <c r="A35" s="152"/>
      <c r="B35" s="152"/>
      <c r="C35" s="152"/>
      <c r="D35" s="152"/>
      <c r="E35" s="152"/>
      <c r="F35" s="152"/>
      <c r="G35" s="152"/>
      <c r="H35" s="152"/>
      <c r="I35" s="152"/>
      <c r="J35" s="152"/>
      <c r="K35" s="157">
        <f>'NSW Calculations'!A42</f>
        <v>2039</v>
      </c>
      <c r="L35" s="158">
        <f>'NSW Calculations'!G42</f>
        <v>13.252847542703131</v>
      </c>
      <c r="M35" s="159">
        <f>'NSW Calculations'!I42</f>
        <v>2.5</v>
      </c>
      <c r="N35" s="160">
        <f>ROUND('NSW Calculations'!J41,-1)</f>
        <v>9070</v>
      </c>
      <c r="O35" s="161">
        <f t="shared" si="0"/>
        <v>236920</v>
      </c>
      <c r="P35" s="152"/>
      <c r="Q35" s="152"/>
      <c r="R35" s="152"/>
      <c r="S35" s="152"/>
      <c r="T35" s="152"/>
      <c r="U35" s="152"/>
      <c r="V35" s="152"/>
      <c r="W35" s="152"/>
      <c r="X35" s="152"/>
    </row>
    <row r="36" spans="1:24" ht="4.5" customHeight="1" x14ac:dyDescent="0.25">
      <c r="K36" s="163"/>
      <c r="L36" s="164"/>
      <c r="M36" s="159"/>
      <c r="N36" s="161"/>
      <c r="O36" s="160"/>
    </row>
    <row r="37" spans="1:24" ht="31.5" customHeight="1" x14ac:dyDescent="0.25">
      <c r="K37" s="193" t="s">
        <v>291</v>
      </c>
      <c r="L37" s="193"/>
      <c r="M37" s="193"/>
      <c r="N37" s="193"/>
      <c r="O37" s="193"/>
    </row>
    <row r="38" spans="1:24" ht="23.25" customHeight="1" x14ac:dyDescent="0.25">
      <c r="K38" s="192" t="s">
        <v>323</v>
      </c>
      <c r="L38" s="192"/>
      <c r="M38" s="192"/>
      <c r="N38" s="192"/>
      <c r="O38" s="192"/>
    </row>
    <row r="39" spans="1:24" x14ac:dyDescent="0.25">
      <c r="L39" s="165"/>
    </row>
  </sheetData>
  <sheetProtection algorithmName="SHA-512" hashValue="QVI29ztwcw1NIPlaPCqQxB4XCVhjV4wUTrEJG3FGj6PSFnpDWh5OiA5OsVNfepdWqBMmPxonDLIKtrCuENqftw==" saltValue="hC7HtgRYW+B6zYlKUdXRYg==" spinCount="100000" sheet="1" scenarios="1"/>
  <mergeCells count="6">
    <mergeCell ref="K10:O11"/>
    <mergeCell ref="K38:O38"/>
    <mergeCell ref="K37:O37"/>
    <mergeCell ref="B15:C15"/>
    <mergeCell ref="B14:C14"/>
    <mergeCell ref="B13:C13"/>
  </mergeCells>
  <pageMargins left="0.70866141732283472" right="0.70866141732283472" top="0.74803149606299213" bottom="0.74803149606299213" header="0.31496062992125984" footer="0.31496062992125984"/>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from>
                    <xdr:col>3</xdr:col>
                    <xdr:colOff>95250</xdr:colOff>
                    <xdr:row>12</xdr:row>
                    <xdr:rowOff>9525</xdr:rowOff>
                  </from>
                  <to>
                    <xdr:col>3</xdr:col>
                    <xdr:colOff>1247775</xdr:colOff>
                    <xdr:row>13</xdr:row>
                    <xdr:rowOff>0</xdr:rowOff>
                  </to>
                </anchor>
              </controlPr>
            </control>
          </mc:Choice>
        </mc:AlternateContent>
        <mc:AlternateContent xmlns:mc="http://schemas.openxmlformats.org/markup-compatibility/2006">
          <mc:Choice Requires="x14">
            <control shapeId="8196" r:id="rId5" name="Drop Down 4">
              <controlPr defaultSize="0" autoLine="0" autoPict="0">
                <anchor>
                  <from>
                    <xdr:col>3</xdr:col>
                    <xdr:colOff>95250</xdr:colOff>
                    <xdr:row>13</xdr:row>
                    <xdr:rowOff>19050</xdr:rowOff>
                  </from>
                  <to>
                    <xdr:col>3</xdr:col>
                    <xdr:colOff>1247775</xdr:colOff>
                    <xdr:row>14</xdr:row>
                    <xdr:rowOff>9525</xdr:rowOff>
                  </to>
                </anchor>
              </controlPr>
            </control>
          </mc:Choice>
        </mc:AlternateContent>
        <mc:AlternateContent xmlns:mc="http://schemas.openxmlformats.org/markup-compatibility/2006">
          <mc:Choice Requires="x14">
            <control shapeId="8197" r:id="rId6" name="Drop Down 5">
              <controlPr defaultSize="0" autoLine="0" autoPict="0">
                <anchor>
                  <from>
                    <xdr:col>3</xdr:col>
                    <xdr:colOff>95250</xdr:colOff>
                    <xdr:row>14</xdr:row>
                    <xdr:rowOff>28575</xdr:rowOff>
                  </from>
                  <to>
                    <xdr:col>3</xdr:col>
                    <xdr:colOff>1247775</xdr:colOff>
                    <xdr:row>15</xdr:row>
                    <xdr:rowOff>19050</xdr:rowOff>
                  </to>
                </anchor>
              </controlPr>
            </control>
          </mc:Choice>
        </mc:AlternateContent>
        <mc:AlternateContent xmlns:mc="http://schemas.openxmlformats.org/markup-compatibility/2006">
          <mc:Choice Requires="x14">
            <control shapeId="8198" r:id="rId7" name="Drop Down 6">
              <controlPr defaultSize="0" autoLine="0" autoPict="0">
                <anchor>
                  <from>
                    <xdr:col>4</xdr:col>
                    <xdr:colOff>95250</xdr:colOff>
                    <xdr:row>12</xdr:row>
                    <xdr:rowOff>9525</xdr:rowOff>
                  </from>
                  <to>
                    <xdr:col>5</xdr:col>
                    <xdr:colOff>19050</xdr:colOff>
                    <xdr:row>13</xdr:row>
                    <xdr:rowOff>0</xdr:rowOff>
                  </to>
                </anchor>
              </controlPr>
            </control>
          </mc:Choice>
        </mc:AlternateContent>
        <mc:AlternateContent xmlns:mc="http://schemas.openxmlformats.org/markup-compatibility/2006">
          <mc:Choice Requires="x14">
            <control shapeId="8199" r:id="rId8" name="Drop Down 7">
              <controlPr defaultSize="0" autoLine="0" autoPict="0">
                <anchor>
                  <from>
                    <xdr:col>4</xdr:col>
                    <xdr:colOff>95250</xdr:colOff>
                    <xdr:row>13</xdr:row>
                    <xdr:rowOff>19050</xdr:rowOff>
                  </from>
                  <to>
                    <xdr:col>5</xdr:col>
                    <xdr:colOff>19050</xdr:colOff>
                    <xdr:row>14</xdr:row>
                    <xdr:rowOff>9525</xdr:rowOff>
                  </to>
                </anchor>
              </controlPr>
            </control>
          </mc:Choice>
        </mc:AlternateContent>
        <mc:AlternateContent xmlns:mc="http://schemas.openxmlformats.org/markup-compatibility/2006">
          <mc:Choice Requires="x14">
            <control shapeId="8200" r:id="rId9" name="Drop Down 8">
              <controlPr defaultSize="0" autoLine="0" autoPict="0">
                <anchor>
                  <from>
                    <xdr:col>4</xdr:col>
                    <xdr:colOff>95250</xdr:colOff>
                    <xdr:row>14</xdr:row>
                    <xdr:rowOff>28575</xdr:rowOff>
                  </from>
                  <to>
                    <xdr:col>5</xdr:col>
                    <xdr:colOff>19050</xdr:colOff>
                    <xdr:row>15</xdr:row>
                    <xdr:rowOff>19050</xdr:rowOff>
                  </to>
                </anchor>
              </controlPr>
            </control>
          </mc:Choice>
        </mc:AlternateContent>
        <mc:AlternateContent xmlns:mc="http://schemas.openxmlformats.org/markup-compatibility/2006">
          <mc:Choice Requires="x14">
            <control shapeId="8201" r:id="rId10" name="Drop Down 9">
              <controlPr defaultSize="0" autoLine="0" autoPict="0">
                <anchor>
                  <from>
                    <xdr:col>5</xdr:col>
                    <xdr:colOff>171450</xdr:colOff>
                    <xdr:row>14</xdr:row>
                    <xdr:rowOff>28575</xdr:rowOff>
                  </from>
                  <to>
                    <xdr:col>5</xdr:col>
                    <xdr:colOff>1323975</xdr:colOff>
                    <xdr:row>15</xdr:row>
                    <xdr:rowOff>19050</xdr:rowOff>
                  </to>
                </anchor>
              </controlPr>
            </control>
          </mc:Choice>
        </mc:AlternateContent>
        <mc:AlternateContent xmlns:mc="http://schemas.openxmlformats.org/markup-compatibility/2006">
          <mc:Choice Requires="x14">
            <control shapeId="8203" r:id="rId11" name="Drop Down 11">
              <controlPr defaultSize="0" autoLine="0" autoPict="0">
                <anchor moveWithCells="1">
                  <from>
                    <xdr:col>2</xdr:col>
                    <xdr:colOff>542925</xdr:colOff>
                    <xdr:row>8</xdr:row>
                    <xdr:rowOff>0</xdr:rowOff>
                  </from>
                  <to>
                    <xdr:col>3</xdr:col>
                    <xdr:colOff>952500</xdr:colOff>
                    <xdr:row>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8:X40"/>
  <sheetViews>
    <sheetView showGridLines="0" showRowColHeaders="0" zoomScaleNormal="100" workbookViewId="0"/>
  </sheetViews>
  <sheetFormatPr defaultRowHeight="15" x14ac:dyDescent="0.25"/>
  <cols>
    <col min="1" max="1" width="4" style="146" customWidth="1"/>
    <col min="2" max="2" width="9.140625" style="146"/>
    <col min="3" max="3" width="21.42578125" style="146" customWidth="1"/>
    <col min="4" max="4" width="19.7109375" style="146" customWidth="1"/>
    <col min="5" max="5" width="20" style="146" customWidth="1"/>
    <col min="6" max="6" width="20.7109375" style="146" customWidth="1"/>
    <col min="7" max="7" width="9.140625" style="146" customWidth="1"/>
    <col min="8" max="9" width="9.140625" style="146"/>
    <col min="10" max="10" width="8.85546875" style="146" customWidth="1"/>
    <col min="11" max="11" width="9.140625" style="146" customWidth="1"/>
    <col min="12" max="12" width="19.28515625" style="146" customWidth="1"/>
    <col min="13" max="13" width="10.42578125" style="146" customWidth="1"/>
    <col min="14" max="14" width="10.28515625" style="146" customWidth="1"/>
    <col min="15" max="15" width="15" style="146" customWidth="1"/>
    <col min="16" max="21" width="9.140625" style="146"/>
    <col min="22" max="22" width="9.140625" style="146" customWidth="1"/>
    <col min="23" max="16384" width="9.140625" style="146"/>
  </cols>
  <sheetData>
    <row r="8" spans="1:24" x14ac:dyDescent="0.25">
      <c r="A8" s="152"/>
      <c r="B8" s="152"/>
      <c r="C8" s="152"/>
      <c r="D8" s="152"/>
      <c r="E8" s="152"/>
      <c r="F8" s="152"/>
      <c r="G8" s="152"/>
      <c r="H8" s="152"/>
      <c r="I8" s="152"/>
      <c r="J8" s="152"/>
      <c r="K8" s="152"/>
      <c r="L8" s="152"/>
      <c r="M8" s="152"/>
      <c r="N8" s="152"/>
      <c r="O8" s="152"/>
      <c r="P8" s="152"/>
      <c r="Q8" s="152"/>
      <c r="R8" s="152"/>
      <c r="S8" s="152"/>
      <c r="T8" s="152"/>
      <c r="U8" s="152"/>
      <c r="V8" s="152"/>
      <c r="W8" s="152"/>
      <c r="X8" s="152"/>
    </row>
    <row r="9" spans="1:24" x14ac:dyDescent="0.25">
      <c r="A9" s="152"/>
      <c r="B9" s="153" t="s">
        <v>255</v>
      </c>
      <c r="C9" s="152"/>
      <c r="D9" s="152"/>
      <c r="E9" s="152"/>
      <c r="F9" s="152"/>
      <c r="G9" s="152"/>
      <c r="H9" s="152"/>
      <c r="I9" s="152"/>
      <c r="J9" s="152"/>
      <c r="K9" s="152"/>
      <c r="L9" s="152"/>
      <c r="M9" s="152"/>
      <c r="N9" s="152"/>
      <c r="O9" s="152"/>
      <c r="P9" s="152"/>
      <c r="Q9" s="152"/>
      <c r="R9" s="152"/>
      <c r="S9" s="152"/>
      <c r="T9" s="152"/>
      <c r="U9" s="152"/>
      <c r="V9" s="152"/>
      <c r="W9" s="152"/>
      <c r="X9" s="152"/>
    </row>
    <row r="10" spans="1:24" x14ac:dyDescent="0.25">
      <c r="A10" s="152"/>
      <c r="B10" s="152"/>
      <c r="C10" s="152"/>
      <c r="D10" s="152"/>
      <c r="E10" s="152"/>
      <c r="F10" s="152"/>
      <c r="G10" s="152"/>
      <c r="H10" s="152"/>
      <c r="I10" s="152"/>
      <c r="J10" s="152"/>
      <c r="K10" s="190" t="str">
        <f>'WHS Controls'!B69</f>
        <v>Projected values based on user inputs, Wales, 2016 to 2039</v>
      </c>
      <c r="L10" s="190"/>
      <c r="M10" s="190"/>
      <c r="N10" s="190"/>
      <c r="O10" s="190"/>
      <c r="P10" s="152"/>
      <c r="Q10" s="152"/>
      <c r="R10" s="152"/>
      <c r="S10" s="152"/>
      <c r="T10" s="152"/>
      <c r="U10" s="152"/>
      <c r="V10" s="152"/>
      <c r="W10" s="152"/>
      <c r="X10" s="152"/>
    </row>
    <row r="11" spans="1:24" ht="15" customHeight="1" x14ac:dyDescent="0.25">
      <c r="A11" s="152"/>
      <c r="B11" s="154" t="s">
        <v>256</v>
      </c>
      <c r="C11" s="152"/>
      <c r="D11" s="152"/>
      <c r="E11" s="152"/>
      <c r="F11" s="152"/>
      <c r="G11" s="152"/>
      <c r="H11" s="152"/>
      <c r="I11" s="152"/>
      <c r="J11" s="152"/>
      <c r="K11" s="191"/>
      <c r="L11" s="191"/>
      <c r="M11" s="191"/>
      <c r="N11" s="191"/>
      <c r="O11" s="191"/>
      <c r="P11" s="152"/>
      <c r="Q11" s="152"/>
      <c r="R11" s="152"/>
      <c r="S11" s="152"/>
      <c r="T11" s="152"/>
      <c r="U11" s="152"/>
      <c r="V11" s="152"/>
      <c r="W11" s="152"/>
      <c r="X11" s="152"/>
    </row>
    <row r="12" spans="1:24" ht="26.25" customHeight="1" x14ac:dyDescent="0.25">
      <c r="A12" s="152"/>
      <c r="B12" s="152"/>
      <c r="C12" s="152"/>
      <c r="D12" s="155" t="s">
        <v>261</v>
      </c>
      <c r="E12" s="155" t="s">
        <v>268</v>
      </c>
      <c r="F12" s="155" t="s">
        <v>315</v>
      </c>
      <c r="G12" s="152"/>
      <c r="H12" s="152"/>
      <c r="I12" s="152"/>
      <c r="J12" s="152"/>
      <c r="K12" s="156" t="s">
        <v>284</v>
      </c>
      <c r="L12" s="156" t="s">
        <v>322</v>
      </c>
      <c r="M12" s="156" t="s">
        <v>285</v>
      </c>
      <c r="N12" s="156" t="s">
        <v>286</v>
      </c>
      <c r="O12" s="156" t="s">
        <v>287</v>
      </c>
      <c r="P12" s="152"/>
      <c r="Q12" s="152"/>
      <c r="R12" s="152"/>
      <c r="S12" s="152"/>
      <c r="T12" s="152"/>
      <c r="U12" s="152"/>
      <c r="V12" s="152"/>
      <c r="W12" s="152"/>
      <c r="X12" s="152"/>
    </row>
    <row r="13" spans="1:24" ht="16.5" customHeight="1" x14ac:dyDescent="0.25">
      <c r="A13" s="152"/>
      <c r="B13" s="194" t="s">
        <v>257</v>
      </c>
      <c r="C13" s="194"/>
      <c r="D13" s="152"/>
      <c r="E13" s="152"/>
      <c r="F13" s="152"/>
      <c r="G13" s="152"/>
      <c r="H13" s="152"/>
      <c r="I13" s="152"/>
      <c r="J13" s="152"/>
      <c r="K13" s="157">
        <f>'WHS Calculations'!A19</f>
        <v>2016</v>
      </c>
      <c r="L13" s="158">
        <f>'WHS Calculations'!G19</f>
        <v>19.476242881493743</v>
      </c>
      <c r="M13" s="159">
        <f>'WHS Calculations'!I19</f>
        <v>2.5</v>
      </c>
      <c r="N13" s="160">
        <f>ROUND('WHS Calculations'!J18,-1)</f>
        <v>12660</v>
      </c>
      <c r="O13" s="161">
        <f>N13</f>
        <v>12660</v>
      </c>
      <c r="P13" s="152"/>
      <c r="Q13" s="152"/>
      <c r="R13" s="152"/>
      <c r="S13" s="152"/>
      <c r="T13" s="152"/>
      <c r="U13" s="152"/>
      <c r="V13" s="152"/>
      <c r="W13" s="152"/>
      <c r="X13" s="152"/>
    </row>
    <row r="14" spans="1:24" ht="16.5" customHeight="1" x14ac:dyDescent="0.25">
      <c r="A14" s="152"/>
      <c r="B14" s="194" t="s">
        <v>258</v>
      </c>
      <c r="C14" s="194"/>
      <c r="D14" s="152"/>
      <c r="E14" s="152"/>
      <c r="F14" s="152"/>
      <c r="G14" s="152"/>
      <c r="H14" s="152"/>
      <c r="I14" s="152"/>
      <c r="J14" s="152"/>
      <c r="K14" s="157">
        <f>'WHS Calculations'!A20</f>
        <v>2017</v>
      </c>
      <c r="L14" s="158">
        <f>'WHS Calculations'!G20</f>
        <v>19.102854025369449</v>
      </c>
      <c r="M14" s="159">
        <f>'WHS Calculations'!I20</f>
        <v>2.5</v>
      </c>
      <c r="N14" s="160">
        <f>ROUND('WHS Calculations'!J19,-1)</f>
        <v>12450</v>
      </c>
      <c r="O14" s="161">
        <f>N14+O13</f>
        <v>25110</v>
      </c>
      <c r="P14" s="152"/>
      <c r="Q14" s="152"/>
      <c r="R14" s="152"/>
      <c r="S14" s="152"/>
      <c r="T14" s="152"/>
      <c r="U14" s="152"/>
      <c r="V14" s="152"/>
      <c r="W14" s="152"/>
      <c r="X14" s="152"/>
    </row>
    <row r="15" spans="1:24" ht="16.5" customHeight="1" x14ac:dyDescent="0.25">
      <c r="A15" s="152"/>
      <c r="B15" s="194" t="s">
        <v>259</v>
      </c>
      <c r="C15" s="194"/>
      <c r="D15" s="152"/>
      <c r="E15" s="152"/>
      <c r="F15" s="152"/>
      <c r="G15" s="152"/>
      <c r="H15" s="152"/>
      <c r="I15" s="152"/>
      <c r="J15" s="152"/>
      <c r="K15" s="157">
        <f>'WHS Calculations'!A21</f>
        <v>2018</v>
      </c>
      <c r="L15" s="158">
        <f>'WHS Calculations'!G21</f>
        <v>18.745078413846223</v>
      </c>
      <c r="M15" s="159">
        <f>'WHS Calculations'!I21</f>
        <v>2.5</v>
      </c>
      <c r="N15" s="160">
        <f>ROUND('WHS Calculations'!J20,-1)</f>
        <v>12240</v>
      </c>
      <c r="O15" s="161">
        <f>N15+O14</f>
        <v>37350</v>
      </c>
      <c r="P15" s="152"/>
      <c r="Q15" s="152"/>
      <c r="R15" s="152"/>
      <c r="S15" s="152"/>
      <c r="T15" s="152"/>
      <c r="U15" s="152"/>
      <c r="V15" s="152"/>
      <c r="W15" s="152"/>
      <c r="X15" s="152"/>
    </row>
    <row r="16" spans="1:24" ht="16.5" customHeight="1" x14ac:dyDescent="0.25">
      <c r="A16" s="152"/>
      <c r="B16" s="162" t="s">
        <v>260</v>
      </c>
      <c r="C16" s="152"/>
      <c r="D16" s="162" t="s">
        <v>262</v>
      </c>
      <c r="E16" s="162" t="s">
        <v>263</v>
      </c>
      <c r="F16" s="152"/>
      <c r="G16" s="152"/>
      <c r="H16" s="152"/>
      <c r="I16" s="152"/>
      <c r="J16" s="152"/>
      <c r="K16" s="157">
        <f>'WHS Calculations'!A22</f>
        <v>2019</v>
      </c>
      <c r="L16" s="158">
        <f>'WHS Calculations'!G22</f>
        <v>18.400953771991052</v>
      </c>
      <c r="M16" s="159">
        <f>'WHS Calculations'!I22</f>
        <v>2.5</v>
      </c>
      <c r="N16" s="160">
        <f>ROUND('WHS Calculations'!J21,-1)</f>
        <v>12040</v>
      </c>
      <c r="O16" s="161">
        <f t="shared" ref="O16:O36" si="0">N16+O15</f>
        <v>49390</v>
      </c>
      <c r="P16" s="152"/>
      <c r="Q16" s="152"/>
      <c r="R16" s="152"/>
      <c r="S16" s="152"/>
      <c r="T16" s="152"/>
      <c r="U16" s="152"/>
      <c r="V16" s="152"/>
      <c r="W16" s="152"/>
      <c r="X16" s="152"/>
    </row>
    <row r="17" spans="1:24" ht="16.5" customHeight="1" x14ac:dyDescent="0.25">
      <c r="A17" s="152"/>
      <c r="B17" s="152"/>
      <c r="C17" s="152"/>
      <c r="D17" s="152"/>
      <c r="E17" s="152"/>
      <c r="F17" s="152"/>
      <c r="G17" s="152"/>
      <c r="H17" s="152"/>
      <c r="I17" s="152"/>
      <c r="J17" s="152"/>
      <c r="K17" s="157">
        <f>'WHS Calculations'!A23</f>
        <v>2020</v>
      </c>
      <c r="L17" s="158">
        <f>'WHS Calculations'!G23</f>
        <v>18.069232431205538</v>
      </c>
      <c r="M17" s="159">
        <f>'WHS Calculations'!I23</f>
        <v>2.5</v>
      </c>
      <c r="N17" s="160">
        <f>ROUND('WHS Calculations'!J22,-1)</f>
        <v>11850</v>
      </c>
      <c r="O17" s="161">
        <f t="shared" si="0"/>
        <v>61240</v>
      </c>
      <c r="P17" s="152"/>
      <c r="Q17" s="152"/>
      <c r="R17" s="152"/>
      <c r="S17" s="152"/>
      <c r="T17" s="152"/>
      <c r="U17" s="152"/>
      <c r="V17" s="152"/>
      <c r="W17" s="152"/>
      <c r="X17" s="152"/>
    </row>
    <row r="18" spans="1:24" ht="16.5" customHeight="1" x14ac:dyDescent="0.25">
      <c r="A18" s="152"/>
      <c r="B18" s="152"/>
      <c r="C18" s="152"/>
      <c r="D18" s="152"/>
      <c r="E18" s="152"/>
      <c r="F18" s="152"/>
      <c r="G18" s="152"/>
      <c r="H18" s="152"/>
      <c r="I18" s="152"/>
      <c r="J18" s="152"/>
      <c r="K18" s="157">
        <f>'WHS Calculations'!A24</f>
        <v>2021</v>
      </c>
      <c r="L18" s="158">
        <f>'WHS Calculations'!G24</f>
        <v>17.747235647371028</v>
      </c>
      <c r="M18" s="159">
        <f>'WHS Calculations'!I24</f>
        <v>2.5</v>
      </c>
      <c r="N18" s="160">
        <f>ROUND('WHS Calculations'!J23,-1)</f>
        <v>11660</v>
      </c>
      <c r="O18" s="161">
        <f t="shared" si="0"/>
        <v>72900</v>
      </c>
      <c r="P18" s="152"/>
      <c r="Q18" s="152"/>
      <c r="R18" s="152"/>
      <c r="S18" s="152"/>
      <c r="T18" s="152"/>
      <c r="U18" s="152"/>
      <c r="V18" s="152"/>
      <c r="W18" s="152"/>
      <c r="X18" s="152"/>
    </row>
    <row r="19" spans="1:24" ht="16.5" customHeight="1" x14ac:dyDescent="0.25">
      <c r="A19" s="152"/>
      <c r="B19" s="152"/>
      <c r="C19" s="152"/>
      <c r="D19" s="152"/>
      <c r="E19" s="152"/>
      <c r="F19" s="152"/>
      <c r="G19" s="152"/>
      <c r="H19" s="152"/>
      <c r="I19" s="152"/>
      <c r="J19" s="152"/>
      <c r="K19" s="157">
        <f>'WHS Calculations'!A25</f>
        <v>2022</v>
      </c>
      <c r="L19" s="158">
        <f>'WHS Calculations'!G25</f>
        <v>17.43253012364827</v>
      </c>
      <c r="M19" s="159">
        <f>'WHS Calculations'!I25</f>
        <v>2.5</v>
      </c>
      <c r="N19" s="160">
        <f>ROUND('WHS Calculations'!J24,-1)</f>
        <v>11480</v>
      </c>
      <c r="O19" s="161">
        <f t="shared" si="0"/>
        <v>84380</v>
      </c>
      <c r="P19" s="152"/>
      <c r="Q19" s="152"/>
      <c r="R19" s="152"/>
      <c r="S19" s="152"/>
      <c r="T19" s="152"/>
      <c r="U19" s="152"/>
      <c r="V19" s="152"/>
      <c r="W19" s="152"/>
      <c r="X19" s="152"/>
    </row>
    <row r="20" spans="1:24" ht="16.5" customHeight="1" x14ac:dyDescent="0.25">
      <c r="A20" s="152"/>
      <c r="B20" s="152"/>
      <c r="C20" s="152"/>
      <c r="D20" s="152"/>
      <c r="E20" s="152"/>
      <c r="F20" s="152"/>
      <c r="G20" s="152"/>
      <c r="H20" s="152"/>
      <c r="I20" s="152"/>
      <c r="J20" s="152"/>
      <c r="K20" s="157">
        <f>'WHS Calculations'!A26</f>
        <v>2023</v>
      </c>
      <c r="L20" s="158">
        <f>'WHS Calculations'!G26</f>
        <v>17.127320738659471</v>
      </c>
      <c r="M20" s="159">
        <f>'WHS Calculations'!I26</f>
        <v>2.5</v>
      </c>
      <c r="N20" s="160">
        <f>ROUND('WHS Calculations'!J25,-1)</f>
        <v>11320</v>
      </c>
      <c r="O20" s="161">
        <f t="shared" si="0"/>
        <v>95700</v>
      </c>
      <c r="P20" s="152"/>
      <c r="Q20" s="152"/>
      <c r="R20" s="152"/>
      <c r="S20" s="152"/>
      <c r="T20" s="152"/>
      <c r="U20" s="152"/>
      <c r="V20" s="152"/>
      <c r="W20" s="152"/>
      <c r="X20" s="152"/>
    </row>
    <row r="21" spans="1:24" ht="16.5" customHeight="1" x14ac:dyDescent="0.25">
      <c r="A21" s="152"/>
      <c r="B21" s="152"/>
      <c r="C21" s="152"/>
      <c r="D21" s="152"/>
      <c r="E21" s="152"/>
      <c r="F21" s="152"/>
      <c r="G21" s="152"/>
      <c r="H21" s="152"/>
      <c r="I21" s="152"/>
      <c r="J21" s="152"/>
      <c r="K21" s="157">
        <f>'WHS Calculations'!A27</f>
        <v>2024</v>
      </c>
      <c r="L21" s="158">
        <f>'WHS Calculations'!G27</f>
        <v>16.828285427410506</v>
      </c>
      <c r="M21" s="159">
        <f>'WHS Calculations'!I27</f>
        <v>2.5</v>
      </c>
      <c r="N21" s="160">
        <f>ROUND('WHS Calculations'!J26,-1)</f>
        <v>11150</v>
      </c>
      <c r="O21" s="161">
        <f t="shared" si="0"/>
        <v>106850</v>
      </c>
      <c r="P21" s="152"/>
      <c r="Q21" s="152"/>
      <c r="R21" s="152"/>
      <c r="S21" s="152"/>
      <c r="T21" s="152"/>
      <c r="U21" s="152"/>
      <c r="V21" s="152"/>
      <c r="W21" s="152"/>
      <c r="X21" s="152"/>
    </row>
    <row r="22" spans="1:24" ht="16.5" customHeight="1" x14ac:dyDescent="0.25">
      <c r="A22" s="152"/>
      <c r="B22" s="152"/>
      <c r="C22" s="152"/>
      <c r="D22" s="152"/>
      <c r="E22" s="152"/>
      <c r="F22" s="152"/>
      <c r="G22" s="152"/>
      <c r="H22" s="152"/>
      <c r="I22" s="152"/>
      <c r="J22" s="152"/>
      <c r="K22" s="157">
        <f>'WHS Calculations'!A28</f>
        <v>2025</v>
      </c>
      <c r="L22" s="158">
        <f>'WHS Calculations'!G28</f>
        <v>16.541795915598311</v>
      </c>
      <c r="M22" s="159">
        <f>'WHS Calculations'!I28</f>
        <v>2.5</v>
      </c>
      <c r="N22" s="160">
        <f>ROUND('WHS Calculations'!J27,-1)</f>
        <v>11000</v>
      </c>
      <c r="O22" s="161">
        <f t="shared" si="0"/>
        <v>117850</v>
      </c>
      <c r="P22" s="152"/>
      <c r="Q22" s="152"/>
      <c r="R22" s="152"/>
      <c r="S22" s="152"/>
      <c r="T22" s="152"/>
      <c r="U22" s="152"/>
      <c r="V22" s="152"/>
      <c r="W22" s="152"/>
      <c r="X22" s="152"/>
    </row>
    <row r="23" spans="1:24" ht="16.5" customHeight="1" x14ac:dyDescent="0.25">
      <c r="A23" s="152"/>
      <c r="B23" s="152"/>
      <c r="C23" s="152"/>
      <c r="D23" s="152"/>
      <c r="E23" s="152"/>
      <c r="F23" s="152"/>
      <c r="G23" s="152"/>
      <c r="H23" s="152"/>
      <c r="I23" s="152"/>
      <c r="J23" s="152"/>
      <c r="K23" s="157">
        <f>'WHS Calculations'!A29</f>
        <v>2026</v>
      </c>
      <c r="L23" s="158">
        <f>'WHS Calculations'!G29</f>
        <v>16.264151575422396</v>
      </c>
      <c r="M23" s="159">
        <f>'WHS Calculations'!I29</f>
        <v>2.5</v>
      </c>
      <c r="N23" s="160">
        <f>ROUND('WHS Calculations'!J28,-1)</f>
        <v>10850</v>
      </c>
      <c r="O23" s="161">
        <f t="shared" si="0"/>
        <v>128700</v>
      </c>
      <c r="P23" s="152"/>
      <c r="Q23" s="152"/>
      <c r="R23" s="152"/>
      <c r="S23" s="152"/>
      <c r="T23" s="152"/>
      <c r="U23" s="152"/>
      <c r="V23" s="152"/>
      <c r="W23" s="152"/>
      <c r="X23" s="152"/>
    </row>
    <row r="24" spans="1:24" ht="16.5" customHeight="1" x14ac:dyDescent="0.25">
      <c r="A24" s="152"/>
      <c r="B24" s="152"/>
      <c r="C24" s="152"/>
      <c r="D24" s="152"/>
      <c r="E24" s="152"/>
      <c r="F24" s="152"/>
      <c r="G24" s="152"/>
      <c r="H24" s="152"/>
      <c r="I24" s="152"/>
      <c r="J24" s="152"/>
      <c r="K24" s="157">
        <f>'WHS Calculations'!A30</f>
        <v>2027</v>
      </c>
      <c r="L24" s="158">
        <f>'WHS Calculations'!G30</f>
        <v>15.99505464827001</v>
      </c>
      <c r="M24" s="159">
        <f>'WHS Calculations'!I30</f>
        <v>2.5</v>
      </c>
      <c r="N24" s="160">
        <f>ROUND('WHS Calculations'!J29,-1)</f>
        <v>10710</v>
      </c>
      <c r="O24" s="161">
        <f t="shared" si="0"/>
        <v>139410</v>
      </c>
      <c r="P24" s="152"/>
      <c r="Q24" s="152"/>
      <c r="R24" s="152"/>
      <c r="S24" s="152"/>
      <c r="T24" s="152"/>
      <c r="U24" s="152"/>
      <c r="V24" s="152"/>
      <c r="W24" s="152"/>
      <c r="X24" s="152"/>
    </row>
    <row r="25" spans="1:24" ht="16.5" customHeight="1" x14ac:dyDescent="0.25">
      <c r="A25" s="152"/>
      <c r="B25" s="152"/>
      <c r="C25" s="152"/>
      <c r="D25" s="152"/>
      <c r="E25" s="152"/>
      <c r="F25" s="152"/>
      <c r="G25" s="152"/>
      <c r="H25" s="152"/>
      <c r="I25" s="152"/>
      <c r="J25" s="152"/>
      <c r="K25" s="157">
        <f>'WHS Calculations'!A31</f>
        <v>2028</v>
      </c>
      <c r="L25" s="158">
        <f>'WHS Calculations'!G31</f>
        <v>15.739068124830419</v>
      </c>
      <c r="M25" s="159">
        <f>'WHS Calculations'!I31</f>
        <v>2.5</v>
      </c>
      <c r="N25" s="160">
        <f>ROUND('WHS Calculations'!J30,-1)</f>
        <v>10580</v>
      </c>
      <c r="O25" s="161">
        <f t="shared" si="0"/>
        <v>149990</v>
      </c>
      <c r="P25" s="152"/>
      <c r="Q25" s="152"/>
      <c r="R25" s="152"/>
      <c r="S25" s="152"/>
      <c r="T25" s="152"/>
      <c r="U25" s="152"/>
      <c r="V25" s="152"/>
      <c r="W25" s="152"/>
      <c r="X25" s="152"/>
    </row>
    <row r="26" spans="1:24" ht="16.5" customHeight="1" x14ac:dyDescent="0.25">
      <c r="A26" s="152"/>
      <c r="B26" s="152"/>
      <c r="C26" s="152"/>
      <c r="D26" s="152"/>
      <c r="E26" s="152"/>
      <c r="F26" s="152"/>
      <c r="G26" s="152"/>
      <c r="H26" s="152"/>
      <c r="I26" s="152"/>
      <c r="J26" s="152"/>
      <c r="K26" s="157">
        <f>'WHS Calculations'!A32</f>
        <v>2029</v>
      </c>
      <c r="L26" s="158">
        <f>'WHS Calculations'!G32</f>
        <v>15.497516317213714</v>
      </c>
      <c r="M26" s="159">
        <f>'WHS Calculations'!I32</f>
        <v>2.5</v>
      </c>
      <c r="N26" s="160">
        <f>ROUND('WHS Calculations'!J31,-1)</f>
        <v>10440</v>
      </c>
      <c r="O26" s="161">
        <f t="shared" si="0"/>
        <v>160430</v>
      </c>
      <c r="P26" s="152"/>
      <c r="Q26" s="152"/>
      <c r="R26" s="152"/>
      <c r="S26" s="152"/>
      <c r="T26" s="152"/>
      <c r="U26" s="152"/>
      <c r="V26" s="152"/>
      <c r="W26" s="152"/>
      <c r="X26" s="152"/>
    </row>
    <row r="27" spans="1:24" ht="16.5" customHeight="1" x14ac:dyDescent="0.25">
      <c r="A27" s="152"/>
      <c r="B27" s="152"/>
      <c r="C27" s="152"/>
      <c r="D27" s="152"/>
      <c r="E27" s="152"/>
      <c r="F27" s="152"/>
      <c r="G27" s="152"/>
      <c r="H27" s="152"/>
      <c r="I27" s="152"/>
      <c r="J27" s="152"/>
      <c r="K27" s="157">
        <f>'WHS Calculations'!A33</f>
        <v>2030</v>
      </c>
      <c r="L27" s="158">
        <f>'WHS Calculations'!G33</f>
        <v>15.269155411873966</v>
      </c>
      <c r="M27" s="159">
        <f>'WHS Calculations'!I33</f>
        <v>2.5</v>
      </c>
      <c r="N27" s="160">
        <f>ROUND('WHS Calculations'!J32,-1)</f>
        <v>10310</v>
      </c>
      <c r="O27" s="161">
        <f t="shared" si="0"/>
        <v>170740</v>
      </c>
      <c r="P27" s="152"/>
      <c r="Q27" s="152"/>
      <c r="R27" s="152"/>
      <c r="S27" s="152"/>
      <c r="T27" s="152"/>
      <c r="U27" s="152"/>
      <c r="V27" s="152"/>
      <c r="W27" s="152"/>
      <c r="X27" s="152"/>
    </row>
    <row r="28" spans="1:24" ht="16.5" customHeight="1" x14ac:dyDescent="0.25">
      <c r="A28" s="152"/>
      <c r="B28" s="152"/>
      <c r="C28" s="152"/>
      <c r="D28" s="152"/>
      <c r="E28" s="152"/>
      <c r="F28" s="152"/>
      <c r="G28" s="152"/>
      <c r="H28" s="152"/>
      <c r="I28" s="152"/>
      <c r="J28" s="152"/>
      <c r="K28" s="157">
        <f>'WHS Calculations'!A34</f>
        <v>2031</v>
      </c>
      <c r="L28" s="158">
        <f>'WHS Calculations'!G34</f>
        <v>15.051605145749884</v>
      </c>
      <c r="M28" s="159">
        <f>'WHS Calculations'!I34</f>
        <v>2.5</v>
      </c>
      <c r="N28" s="160">
        <f>ROUND('WHS Calculations'!J33,-1)</f>
        <v>10190</v>
      </c>
      <c r="O28" s="161">
        <f t="shared" si="0"/>
        <v>180930</v>
      </c>
      <c r="P28" s="152"/>
      <c r="Q28" s="152"/>
      <c r="R28" s="152"/>
      <c r="S28" s="152"/>
      <c r="T28" s="152"/>
      <c r="U28" s="152"/>
      <c r="V28" s="152"/>
      <c r="W28" s="152"/>
      <c r="X28" s="152"/>
    </row>
    <row r="29" spans="1:24" ht="16.5" customHeight="1" x14ac:dyDescent="0.25">
      <c r="A29" s="152"/>
      <c r="B29" s="152"/>
      <c r="C29" s="152"/>
      <c r="D29" s="152"/>
      <c r="E29" s="152"/>
      <c r="F29" s="152"/>
      <c r="G29" s="152"/>
      <c r="H29" s="152"/>
      <c r="I29" s="152"/>
      <c r="J29" s="152"/>
      <c r="K29" s="157">
        <f>'WHS Calculations'!A35</f>
        <v>2032</v>
      </c>
      <c r="L29" s="158">
        <f>'WHS Calculations'!G35</f>
        <v>14.843925095608206</v>
      </c>
      <c r="M29" s="159">
        <f>'WHS Calculations'!I35</f>
        <v>2.5</v>
      </c>
      <c r="N29" s="160">
        <f>ROUND('WHS Calculations'!J34,-1)</f>
        <v>10060</v>
      </c>
      <c r="O29" s="161">
        <f t="shared" si="0"/>
        <v>190990</v>
      </c>
      <c r="P29" s="152"/>
      <c r="Q29" s="152"/>
      <c r="R29" s="152"/>
      <c r="S29" s="152"/>
      <c r="T29" s="152"/>
      <c r="U29" s="152"/>
      <c r="V29" s="152"/>
      <c r="W29" s="152"/>
      <c r="X29" s="152"/>
    </row>
    <row r="30" spans="1:24" ht="16.5" customHeight="1" x14ac:dyDescent="0.25">
      <c r="A30" s="152"/>
      <c r="B30" s="152"/>
      <c r="C30" s="152"/>
      <c r="D30" s="152"/>
      <c r="E30" s="152"/>
      <c r="F30" s="152"/>
      <c r="G30" s="152"/>
      <c r="H30" s="152"/>
      <c r="I30" s="152"/>
      <c r="J30" s="152"/>
      <c r="K30" s="157">
        <f>'WHS Calculations'!A36</f>
        <v>2033</v>
      </c>
      <c r="L30" s="158">
        <f>'WHS Calculations'!G36</f>
        <v>14.645735419863518</v>
      </c>
      <c r="M30" s="159">
        <f>'WHS Calculations'!I36</f>
        <v>2.5</v>
      </c>
      <c r="N30" s="160">
        <f>ROUND('WHS Calculations'!J35,-1)</f>
        <v>9950</v>
      </c>
      <c r="O30" s="161">
        <f t="shared" si="0"/>
        <v>200940</v>
      </c>
      <c r="P30" s="152"/>
      <c r="Q30" s="152"/>
      <c r="R30" s="152"/>
      <c r="S30" s="152"/>
      <c r="T30" s="152"/>
      <c r="U30" s="152"/>
      <c r="V30" s="152"/>
      <c r="W30" s="152"/>
      <c r="X30" s="152"/>
    </row>
    <row r="31" spans="1:24" ht="16.5" customHeight="1" x14ac:dyDescent="0.25">
      <c r="A31" s="152"/>
      <c r="B31" s="152"/>
      <c r="C31" s="152"/>
      <c r="D31" s="152"/>
      <c r="E31" s="152"/>
      <c r="F31" s="152"/>
      <c r="G31" s="152"/>
      <c r="H31" s="152"/>
      <c r="I31" s="152"/>
      <c r="J31" s="152"/>
      <c r="K31" s="157">
        <f>'WHS Calculations'!A37</f>
        <v>2034</v>
      </c>
      <c r="L31" s="158">
        <f>'WHS Calculations'!G37</f>
        <v>14.456891830389162</v>
      </c>
      <c r="M31" s="159">
        <f>'WHS Calculations'!I37</f>
        <v>2.5</v>
      </c>
      <c r="N31" s="160">
        <f>ROUND('WHS Calculations'!J36,-1)</f>
        <v>9830</v>
      </c>
      <c r="O31" s="161">
        <f t="shared" si="0"/>
        <v>210770</v>
      </c>
      <c r="P31" s="152"/>
      <c r="Q31" s="152"/>
      <c r="R31" s="152"/>
      <c r="S31" s="152"/>
      <c r="T31" s="152"/>
      <c r="U31" s="152"/>
      <c r="V31" s="152"/>
      <c r="W31" s="152"/>
      <c r="X31" s="152"/>
    </row>
    <row r="32" spans="1:24" ht="16.5" customHeight="1" x14ac:dyDescent="0.25">
      <c r="A32" s="152"/>
      <c r="B32" s="152"/>
      <c r="C32" s="152"/>
      <c r="D32" s="152"/>
      <c r="E32" s="152"/>
      <c r="F32" s="152"/>
      <c r="G32" s="152"/>
      <c r="H32" s="152"/>
      <c r="I32" s="152"/>
      <c r="J32" s="152"/>
      <c r="K32" s="157">
        <f>'WHS Calculations'!A38</f>
        <v>2035</v>
      </c>
      <c r="L32" s="158">
        <f>'WHS Calculations'!G38</f>
        <v>14.276241231236805</v>
      </c>
      <c r="M32" s="159">
        <f>'WHS Calculations'!I38</f>
        <v>2.5</v>
      </c>
      <c r="N32" s="160">
        <f>ROUND('WHS Calculations'!J37,-1)</f>
        <v>9720</v>
      </c>
      <c r="O32" s="161">
        <f t="shared" si="0"/>
        <v>220490</v>
      </c>
      <c r="P32" s="152"/>
      <c r="Q32" s="152"/>
      <c r="R32" s="152"/>
      <c r="S32" s="152"/>
      <c r="T32" s="152"/>
      <c r="U32" s="152"/>
      <c r="V32" s="152"/>
      <c r="W32" s="152"/>
      <c r="X32" s="152"/>
    </row>
    <row r="33" spans="1:24" ht="16.5" customHeight="1" x14ac:dyDescent="0.25">
      <c r="A33" s="152"/>
      <c r="B33" s="152"/>
      <c r="C33" s="152"/>
      <c r="D33" s="152"/>
      <c r="E33" s="152"/>
      <c r="F33" s="152"/>
      <c r="G33" s="152"/>
      <c r="H33" s="152"/>
      <c r="I33" s="152"/>
      <c r="J33" s="152"/>
      <c r="K33" s="157">
        <f>'WHS Calculations'!A39</f>
        <v>2036</v>
      </c>
      <c r="L33" s="158">
        <f>'WHS Calculations'!G39</f>
        <v>14.102982040940418</v>
      </c>
      <c r="M33" s="159">
        <f>'WHS Calculations'!I39</f>
        <v>2.5</v>
      </c>
      <c r="N33" s="160">
        <f>ROUND('WHS Calculations'!J38,-1)</f>
        <v>9620</v>
      </c>
      <c r="O33" s="161">
        <f t="shared" si="0"/>
        <v>230110</v>
      </c>
      <c r="P33" s="152"/>
      <c r="Q33" s="152"/>
      <c r="R33" s="152"/>
      <c r="S33" s="152"/>
      <c r="T33" s="152"/>
      <c r="U33" s="152"/>
      <c r="V33" s="152"/>
      <c r="W33" s="152"/>
      <c r="X33" s="152"/>
    </row>
    <row r="34" spans="1:24" ht="16.5" customHeight="1" x14ac:dyDescent="0.25">
      <c r="A34" s="152"/>
      <c r="B34" s="152"/>
      <c r="C34" s="152"/>
      <c r="D34" s="152"/>
      <c r="E34" s="152"/>
      <c r="F34" s="152"/>
      <c r="G34" s="152"/>
      <c r="H34" s="152"/>
      <c r="I34" s="152"/>
      <c r="J34" s="152"/>
      <c r="K34" s="157">
        <f>'WHS Calculations'!A40</f>
        <v>2037</v>
      </c>
      <c r="L34" s="158">
        <f>'WHS Calculations'!G40</f>
        <v>13.936602873223503</v>
      </c>
      <c r="M34" s="159">
        <f>'WHS Calculations'!I40</f>
        <v>2.5</v>
      </c>
      <c r="N34" s="160">
        <f>ROUND('WHS Calculations'!J39,-1)</f>
        <v>9520</v>
      </c>
      <c r="O34" s="161">
        <f t="shared" si="0"/>
        <v>239630</v>
      </c>
      <c r="P34" s="152"/>
      <c r="Q34" s="152"/>
      <c r="R34" s="152"/>
      <c r="S34" s="152"/>
      <c r="T34" s="152"/>
      <c r="U34" s="152"/>
      <c r="V34" s="152"/>
      <c r="W34" s="152"/>
      <c r="X34" s="152"/>
    </row>
    <row r="35" spans="1:24" ht="16.5" customHeight="1" x14ac:dyDescent="0.25">
      <c r="A35" s="152"/>
      <c r="B35" s="152"/>
      <c r="C35" s="152"/>
      <c r="D35" s="152"/>
      <c r="E35" s="152"/>
      <c r="F35" s="152"/>
      <c r="G35" s="152"/>
      <c r="H35" s="152"/>
      <c r="I35" s="152"/>
      <c r="J35" s="152"/>
      <c r="K35" s="157">
        <f>'WHS Calculations'!A41</f>
        <v>2038</v>
      </c>
      <c r="L35" s="158">
        <f>'WHS Calculations'!G41</f>
        <v>13.776685942708019</v>
      </c>
      <c r="M35" s="159">
        <f>'WHS Calculations'!I41</f>
        <v>2.5</v>
      </c>
      <c r="N35" s="160">
        <f>ROUND('WHS Calculations'!J40,-1)</f>
        <v>9420</v>
      </c>
      <c r="O35" s="161">
        <f t="shared" si="0"/>
        <v>249050</v>
      </c>
      <c r="P35" s="152"/>
      <c r="Q35" s="152"/>
      <c r="R35" s="152"/>
      <c r="S35" s="152"/>
      <c r="T35" s="152"/>
      <c r="U35" s="152"/>
      <c r="V35" s="152"/>
      <c r="W35" s="152"/>
      <c r="X35" s="152"/>
    </row>
    <row r="36" spans="1:24" ht="16.5" customHeight="1" x14ac:dyDescent="0.25">
      <c r="K36" s="157">
        <f>'WHS Calculations'!A42</f>
        <v>2039</v>
      </c>
      <c r="L36" s="158">
        <f>'WHS Calculations'!G42</f>
        <v>13.623285886665709</v>
      </c>
      <c r="M36" s="159">
        <f>'WHS Calculations'!I42</f>
        <v>2.5</v>
      </c>
      <c r="N36" s="160">
        <f>ROUND('WHS Calculations'!J41,-1)</f>
        <v>9330</v>
      </c>
      <c r="O36" s="161">
        <f t="shared" si="0"/>
        <v>258380</v>
      </c>
    </row>
    <row r="37" spans="1:24" ht="4.5" customHeight="1" x14ac:dyDescent="0.25">
      <c r="K37" s="163"/>
      <c r="L37" s="164"/>
      <c r="M37" s="159"/>
      <c r="N37" s="161"/>
      <c r="O37" s="160"/>
    </row>
    <row r="38" spans="1:24" ht="23.25" customHeight="1" x14ac:dyDescent="0.25">
      <c r="K38" s="193" t="s">
        <v>327</v>
      </c>
      <c r="L38" s="193"/>
      <c r="M38" s="193"/>
      <c r="N38" s="193"/>
      <c r="O38" s="193"/>
    </row>
    <row r="39" spans="1:24" ht="22.5" customHeight="1" x14ac:dyDescent="0.25">
      <c r="K39" s="192" t="s">
        <v>323</v>
      </c>
      <c r="L39" s="192"/>
      <c r="M39" s="192"/>
      <c r="N39" s="192"/>
      <c r="O39" s="192"/>
    </row>
    <row r="40" spans="1:24" x14ac:dyDescent="0.25">
      <c r="L40" s="165"/>
    </row>
  </sheetData>
  <sheetProtection algorithmName="SHA-512" hashValue="wPB4Rnx4mwf7Pw9Uiz/Kyy1qWnKaUB8ZZdvErr5NGH3+MVV/zStmXwt30f5jBPl69bm/+B5iiUyjQiC7WVGc+Q==" saltValue="qrvm3reXtPqab21WOubGtQ==" spinCount="100000" sheet="1" scenarios="1"/>
  <mergeCells count="6">
    <mergeCell ref="K39:O39"/>
    <mergeCell ref="K10:O11"/>
    <mergeCell ref="B13:C13"/>
    <mergeCell ref="B14:C14"/>
    <mergeCell ref="B15:C15"/>
    <mergeCell ref="K38:O38"/>
  </mergeCells>
  <pageMargins left="0.70866141732283472" right="0.70866141732283472" top="0.74803149606299213" bottom="0.74803149606299213" header="0.31496062992125984" footer="0.31496062992125984"/>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from>
                    <xdr:col>3</xdr:col>
                    <xdr:colOff>95250</xdr:colOff>
                    <xdr:row>12</xdr:row>
                    <xdr:rowOff>9525</xdr:rowOff>
                  </from>
                  <to>
                    <xdr:col>3</xdr:col>
                    <xdr:colOff>1247775</xdr:colOff>
                    <xdr:row>13</xdr:row>
                    <xdr:rowOff>0</xdr:rowOff>
                  </to>
                </anchor>
              </controlPr>
            </control>
          </mc:Choice>
        </mc:AlternateContent>
        <mc:AlternateContent xmlns:mc="http://schemas.openxmlformats.org/markup-compatibility/2006">
          <mc:Choice Requires="x14">
            <control shapeId="29698" r:id="rId5" name="Drop Down 2">
              <controlPr defaultSize="0" autoLine="0" autoPict="0">
                <anchor>
                  <from>
                    <xdr:col>3</xdr:col>
                    <xdr:colOff>95250</xdr:colOff>
                    <xdr:row>13</xdr:row>
                    <xdr:rowOff>19050</xdr:rowOff>
                  </from>
                  <to>
                    <xdr:col>3</xdr:col>
                    <xdr:colOff>1247775</xdr:colOff>
                    <xdr:row>14</xdr:row>
                    <xdr:rowOff>9525</xdr:rowOff>
                  </to>
                </anchor>
              </controlPr>
            </control>
          </mc:Choice>
        </mc:AlternateContent>
        <mc:AlternateContent xmlns:mc="http://schemas.openxmlformats.org/markup-compatibility/2006">
          <mc:Choice Requires="x14">
            <control shapeId="29699" r:id="rId6" name="Drop Down 3">
              <controlPr defaultSize="0" autoLine="0" autoPict="0">
                <anchor>
                  <from>
                    <xdr:col>3</xdr:col>
                    <xdr:colOff>95250</xdr:colOff>
                    <xdr:row>14</xdr:row>
                    <xdr:rowOff>28575</xdr:rowOff>
                  </from>
                  <to>
                    <xdr:col>3</xdr:col>
                    <xdr:colOff>1247775</xdr:colOff>
                    <xdr:row>15</xdr:row>
                    <xdr:rowOff>19050</xdr:rowOff>
                  </to>
                </anchor>
              </controlPr>
            </control>
          </mc:Choice>
        </mc:AlternateContent>
        <mc:AlternateContent xmlns:mc="http://schemas.openxmlformats.org/markup-compatibility/2006">
          <mc:Choice Requires="x14">
            <control shapeId="29700" r:id="rId7" name="Drop Down 4">
              <controlPr defaultSize="0" autoLine="0" autoPict="0">
                <anchor>
                  <from>
                    <xdr:col>4</xdr:col>
                    <xdr:colOff>95250</xdr:colOff>
                    <xdr:row>12</xdr:row>
                    <xdr:rowOff>9525</xdr:rowOff>
                  </from>
                  <to>
                    <xdr:col>5</xdr:col>
                    <xdr:colOff>19050</xdr:colOff>
                    <xdr:row>13</xdr:row>
                    <xdr:rowOff>0</xdr:rowOff>
                  </to>
                </anchor>
              </controlPr>
            </control>
          </mc:Choice>
        </mc:AlternateContent>
        <mc:AlternateContent xmlns:mc="http://schemas.openxmlformats.org/markup-compatibility/2006">
          <mc:Choice Requires="x14">
            <control shapeId="29701" r:id="rId8" name="Drop Down 5">
              <controlPr defaultSize="0" autoLine="0" autoPict="0">
                <anchor>
                  <from>
                    <xdr:col>4</xdr:col>
                    <xdr:colOff>95250</xdr:colOff>
                    <xdr:row>13</xdr:row>
                    <xdr:rowOff>19050</xdr:rowOff>
                  </from>
                  <to>
                    <xdr:col>5</xdr:col>
                    <xdr:colOff>19050</xdr:colOff>
                    <xdr:row>14</xdr:row>
                    <xdr:rowOff>9525</xdr:rowOff>
                  </to>
                </anchor>
              </controlPr>
            </control>
          </mc:Choice>
        </mc:AlternateContent>
        <mc:AlternateContent xmlns:mc="http://schemas.openxmlformats.org/markup-compatibility/2006">
          <mc:Choice Requires="x14">
            <control shapeId="29702" r:id="rId9" name="Drop Down 6">
              <controlPr defaultSize="0" autoLine="0" autoPict="0">
                <anchor>
                  <from>
                    <xdr:col>4</xdr:col>
                    <xdr:colOff>95250</xdr:colOff>
                    <xdr:row>14</xdr:row>
                    <xdr:rowOff>28575</xdr:rowOff>
                  </from>
                  <to>
                    <xdr:col>5</xdr:col>
                    <xdr:colOff>19050</xdr:colOff>
                    <xdr:row>15</xdr:row>
                    <xdr:rowOff>19050</xdr:rowOff>
                  </to>
                </anchor>
              </controlPr>
            </control>
          </mc:Choice>
        </mc:AlternateContent>
        <mc:AlternateContent xmlns:mc="http://schemas.openxmlformats.org/markup-compatibility/2006">
          <mc:Choice Requires="x14">
            <control shapeId="29703" r:id="rId10" name="Drop Down 7">
              <controlPr defaultSize="0" autoLine="0" autoPict="0">
                <anchor>
                  <from>
                    <xdr:col>5</xdr:col>
                    <xdr:colOff>171450</xdr:colOff>
                    <xdr:row>14</xdr:row>
                    <xdr:rowOff>28575</xdr:rowOff>
                  </from>
                  <to>
                    <xdr:col>5</xdr:col>
                    <xdr:colOff>1323975</xdr:colOff>
                    <xdr:row>15</xdr:row>
                    <xdr:rowOff>19050</xdr:rowOff>
                  </to>
                </anchor>
              </controlPr>
            </control>
          </mc:Choice>
        </mc:AlternateContent>
        <mc:AlternateContent xmlns:mc="http://schemas.openxmlformats.org/markup-compatibility/2006">
          <mc:Choice Requires="x14">
            <control shapeId="29704" r:id="rId11" name="Drop Down 8">
              <controlPr defaultSize="0" autoLine="0" autoPict="0">
                <anchor>
                  <from>
                    <xdr:col>2</xdr:col>
                    <xdr:colOff>542925</xdr:colOff>
                    <xdr:row>8</xdr:row>
                    <xdr:rowOff>0</xdr:rowOff>
                  </from>
                  <to>
                    <xdr:col>3</xdr:col>
                    <xdr:colOff>952500</xdr:colOff>
                    <xdr:row>9</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showRowColHeaders="0" workbookViewId="0"/>
  </sheetViews>
  <sheetFormatPr defaultRowHeight="15" x14ac:dyDescent="0.25"/>
  <cols>
    <col min="1" max="1" width="4" style="146" customWidth="1"/>
    <col min="2" max="2" width="16.5703125" style="146" customWidth="1"/>
    <col min="3" max="3" width="73.85546875" style="146" customWidth="1"/>
    <col min="4" max="4" width="9.140625" style="146"/>
    <col min="5" max="5" width="20" style="146" customWidth="1"/>
    <col min="6" max="6" width="69.28515625" style="146" customWidth="1"/>
    <col min="7" max="7" width="9.140625" style="146" customWidth="1"/>
    <col min="8" max="21" width="9.140625" style="146"/>
    <col min="22" max="22" width="9.140625" style="146" customWidth="1"/>
    <col min="23" max="16384" width="9.140625" style="146"/>
  </cols>
  <sheetData>
    <row r="1" spans="1:3" x14ac:dyDescent="0.25">
      <c r="A1" s="146" t="s">
        <v>321</v>
      </c>
    </row>
    <row r="9" spans="1:3" ht="41.25" customHeight="1" x14ac:dyDescent="0.25">
      <c r="B9" s="166" t="s">
        <v>304</v>
      </c>
      <c r="C9" s="167" t="s">
        <v>301</v>
      </c>
    </row>
    <row r="10" spans="1:3" ht="16.5" customHeight="1" x14ac:dyDescent="0.25">
      <c r="B10" s="168" t="s">
        <v>305</v>
      </c>
      <c r="C10" s="169" t="s">
        <v>307</v>
      </c>
    </row>
    <row r="11" spans="1:3" ht="66" customHeight="1" x14ac:dyDescent="0.25">
      <c r="B11" s="170" t="s">
        <v>306</v>
      </c>
      <c r="C11" s="171" t="s">
        <v>330</v>
      </c>
    </row>
    <row r="12" spans="1:3" ht="42" customHeight="1" x14ac:dyDescent="0.25">
      <c r="B12" s="172"/>
      <c r="C12" s="167" t="s">
        <v>308</v>
      </c>
    </row>
    <row r="13" spans="1:3" ht="28.5" customHeight="1" x14ac:dyDescent="0.25">
      <c r="B13" s="173"/>
      <c r="C13" s="174" t="s">
        <v>309</v>
      </c>
    </row>
    <row r="14" spans="1:3" ht="16.5" customHeight="1" x14ac:dyDescent="0.25">
      <c r="B14" s="168" t="s">
        <v>303</v>
      </c>
      <c r="C14" s="168" t="s">
        <v>310</v>
      </c>
    </row>
    <row r="15" spans="1:3" ht="16.5" customHeight="1" x14ac:dyDescent="0.25">
      <c r="B15" s="168" t="s">
        <v>311</v>
      </c>
      <c r="C15" s="175" t="s">
        <v>302</v>
      </c>
    </row>
    <row r="16" spans="1:3" ht="40.5" customHeight="1" x14ac:dyDescent="0.25">
      <c r="B16" s="171" t="s">
        <v>19</v>
      </c>
      <c r="C16" s="167" t="s">
        <v>331</v>
      </c>
    </row>
    <row r="17" spans="2:3" ht="66" customHeight="1" x14ac:dyDescent="0.25">
      <c r="C17" s="176" t="s">
        <v>332</v>
      </c>
    </row>
    <row r="18" spans="2:3" ht="53.25" customHeight="1" x14ac:dyDescent="0.25">
      <c r="B18" s="167"/>
      <c r="C18" s="167" t="s">
        <v>334</v>
      </c>
    </row>
    <row r="19" spans="2:3" ht="28.5" customHeight="1" x14ac:dyDescent="0.25">
      <c r="B19" s="167"/>
      <c r="C19" s="177" t="s">
        <v>333</v>
      </c>
    </row>
    <row r="20" spans="2:3" ht="53.25" customHeight="1" x14ac:dyDescent="0.25">
      <c r="B20" s="167"/>
      <c r="C20" s="167" t="s">
        <v>313</v>
      </c>
    </row>
    <row r="21" spans="2:3" ht="25.5" x14ac:dyDescent="0.25">
      <c r="C21" s="167" t="s">
        <v>335</v>
      </c>
    </row>
    <row r="22" spans="2:3" x14ac:dyDescent="0.25">
      <c r="B22" s="178"/>
      <c r="C22" s="179" t="s">
        <v>299</v>
      </c>
    </row>
  </sheetData>
  <sheetProtection algorithmName="SHA-512" hashValue="6zIhp8tHklO0abd/OLVMbtVrLiTcM+P7CkZyrmGsgbr2buloDAC5JmX/gqMcIFNXCSnw3sHVEBbhEBWm9tDzDA==" saltValue="EwBdk4T21DfcH7qRdWeuQQ==" spinCount="100000" sheet="1" scenarios="1"/>
  <hyperlinks>
    <hyperlink ref="C22" r:id="rId1"/>
  </hyperlinks>
  <pageMargins left="0.70866141732283472" right="0.70866141732283472" top="0.74803149606299213" bottom="0.74803149606299213" header="0.31496062992125984" footer="0.31496062992125984"/>
  <pageSetup paperSize="9" scale="5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10"/>
  <sheetViews>
    <sheetView showGridLines="0" showRowColHeaders="0" zoomScaleNormal="100" workbookViewId="0"/>
  </sheetViews>
  <sheetFormatPr defaultRowHeight="15" x14ac:dyDescent="0.25"/>
  <cols>
    <col min="1" max="1" width="4" style="146" customWidth="1"/>
    <col min="2" max="6" width="9.140625" style="146"/>
    <col min="7" max="7" width="9.140625" style="146" customWidth="1"/>
    <col min="8" max="21" width="9.140625" style="146"/>
    <col min="22" max="22" width="9.140625" style="146" customWidth="1"/>
    <col min="23" max="16384" width="9.140625" style="146"/>
  </cols>
  <sheetData>
    <row r="9" spans="2:10" x14ac:dyDescent="0.25">
      <c r="B9" s="180"/>
      <c r="C9" s="181"/>
      <c r="D9" s="181"/>
      <c r="E9" s="181"/>
      <c r="F9" s="181"/>
      <c r="G9" s="181"/>
      <c r="H9" s="181"/>
      <c r="I9" s="181"/>
      <c r="J9" s="181"/>
    </row>
    <row r="10" spans="2:10" x14ac:dyDescent="0.25">
      <c r="B10" s="181"/>
      <c r="C10" s="181"/>
      <c r="D10" s="181"/>
      <c r="E10" s="181"/>
      <c r="F10" s="181"/>
      <c r="G10" s="181"/>
      <c r="H10" s="181"/>
      <c r="I10" s="181"/>
      <c r="J10" s="181"/>
    </row>
  </sheetData>
  <sheetProtection algorithmName="SHA-512" hashValue="rSQ50XpWuLfkPe/vWbKNsufe+EzQzCklRH9jvI5A1IfdIRzWai7GopUDjJBH/bSWtaMd54lXp3VkhZiP47gM+Q==" saltValue="wPcYCp2yih37Fj9+YT5Cxw=="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O47"/>
  <sheetViews>
    <sheetView showGridLines="0" showRowColHeaders="0" workbookViewId="0"/>
  </sheetViews>
  <sheetFormatPr defaultRowHeight="15" x14ac:dyDescent="0.25"/>
  <cols>
    <col min="1" max="1" width="4" style="146" customWidth="1"/>
    <col min="2" max="6" width="9.140625" style="146"/>
    <col min="7" max="7" width="9.140625" style="146" customWidth="1"/>
    <col min="8" max="21" width="9.140625" style="146"/>
    <col min="22" max="22" width="9.140625" style="146" customWidth="1"/>
    <col min="23" max="16384" width="9.140625" style="146"/>
  </cols>
  <sheetData>
    <row r="9" spans="2:15" x14ac:dyDescent="0.25">
      <c r="B9" s="180" t="s">
        <v>1</v>
      </c>
      <c r="C9" s="182"/>
      <c r="D9" s="182"/>
      <c r="E9" s="182"/>
      <c r="F9" s="182"/>
      <c r="G9" s="182"/>
      <c r="H9" s="182"/>
      <c r="I9" s="182"/>
      <c r="J9" s="182"/>
      <c r="K9" s="182"/>
      <c r="L9" s="182"/>
      <c r="M9" s="182"/>
      <c r="N9" s="182"/>
      <c r="O9" s="183" t="s">
        <v>0</v>
      </c>
    </row>
    <row r="10" spans="2:15" x14ac:dyDescent="0.25">
      <c r="B10" s="182"/>
      <c r="C10" s="182"/>
      <c r="D10" s="182"/>
      <c r="E10" s="182"/>
      <c r="F10" s="182"/>
      <c r="G10" s="182"/>
      <c r="H10" s="182"/>
      <c r="I10" s="182"/>
      <c r="J10" s="182"/>
      <c r="K10" s="182"/>
      <c r="L10" s="182"/>
      <c r="M10" s="182"/>
    </row>
    <row r="11" spans="2:15" s="184" customFormat="1" ht="12.75" x14ac:dyDescent="0.2"/>
    <row r="12" spans="2:15" s="184" customFormat="1" ht="12.75" x14ac:dyDescent="0.2">
      <c r="B12" s="185" t="s">
        <v>2</v>
      </c>
      <c r="C12" s="185"/>
    </row>
    <row r="13" spans="2:15" s="184" customFormat="1" ht="12.75" x14ac:dyDescent="0.2">
      <c r="B13" s="184" t="s">
        <v>3</v>
      </c>
    </row>
    <row r="14" spans="2:15" s="184" customFormat="1" ht="12.75" x14ac:dyDescent="0.2">
      <c r="B14" s="184" t="s">
        <v>4</v>
      </c>
    </row>
    <row r="15" spans="2:15" s="184" customFormat="1" ht="12.75" x14ac:dyDescent="0.2">
      <c r="B15" s="184" t="s">
        <v>5</v>
      </c>
    </row>
    <row r="16" spans="2:15" s="184" customFormat="1" ht="12.75" x14ac:dyDescent="0.2">
      <c r="B16" s="184" t="s">
        <v>6</v>
      </c>
      <c r="D16" s="185"/>
      <c r="E16" s="185"/>
      <c r="F16" s="185"/>
      <c r="G16" s="185"/>
      <c r="H16" s="185"/>
      <c r="I16" s="185"/>
      <c r="J16" s="185"/>
      <c r="K16" s="185"/>
      <c r="L16" s="185"/>
    </row>
    <row r="17" spans="2:13" s="185" customFormat="1" ht="12.75" x14ac:dyDescent="0.2">
      <c r="B17" s="184"/>
      <c r="C17" s="184"/>
      <c r="M17" s="184"/>
    </row>
    <row r="18" spans="2:13" s="185" customFormat="1" ht="12.75" x14ac:dyDescent="0.2">
      <c r="B18" s="185" t="s">
        <v>7</v>
      </c>
    </row>
    <row r="19" spans="2:13" s="185" customFormat="1" ht="12.75" x14ac:dyDescent="0.2">
      <c r="B19" s="186">
        <v>1</v>
      </c>
      <c r="C19" s="184" t="s">
        <v>8</v>
      </c>
      <c r="D19" s="184"/>
      <c r="E19" s="184"/>
      <c r="F19" s="184"/>
      <c r="G19" s="184"/>
      <c r="H19" s="184"/>
      <c r="I19" s="184"/>
      <c r="J19" s="184"/>
      <c r="K19" s="184"/>
      <c r="L19" s="184"/>
    </row>
    <row r="20" spans="2:13" s="184" customFormat="1" ht="12.75" x14ac:dyDescent="0.2">
      <c r="B20" s="187"/>
      <c r="C20" s="184" t="s">
        <v>9</v>
      </c>
      <c r="M20" s="185"/>
    </row>
    <row r="21" spans="2:13" s="184" customFormat="1" ht="12.75" x14ac:dyDescent="0.2">
      <c r="B21" s="186">
        <v>2</v>
      </c>
      <c r="C21" s="184" t="s">
        <v>10</v>
      </c>
    </row>
    <row r="22" spans="2:13" s="184" customFormat="1" ht="12.75" x14ac:dyDescent="0.2">
      <c r="B22" s="186">
        <v>3</v>
      </c>
      <c r="C22" s="184" t="s">
        <v>11</v>
      </c>
    </row>
    <row r="23" spans="2:13" s="184" customFormat="1" ht="12.75" x14ac:dyDescent="0.2">
      <c r="B23" s="186">
        <v>4</v>
      </c>
      <c r="C23" s="184" t="s">
        <v>12</v>
      </c>
    </row>
    <row r="24" spans="2:13" s="184" customFormat="1" ht="12.75" x14ac:dyDescent="0.2">
      <c r="B24" s="186">
        <v>5</v>
      </c>
      <c r="C24" s="184" t="s">
        <v>13</v>
      </c>
      <c r="D24" s="185"/>
      <c r="E24" s="185"/>
      <c r="F24" s="185"/>
      <c r="G24" s="185"/>
      <c r="H24" s="185"/>
      <c r="I24" s="185"/>
      <c r="J24" s="185"/>
      <c r="K24" s="185"/>
      <c r="L24" s="185"/>
    </row>
    <row r="25" spans="2:13" s="185" customFormat="1" ht="12.75" x14ac:dyDescent="0.2">
      <c r="B25" s="186"/>
      <c r="C25" s="184" t="s">
        <v>14</v>
      </c>
      <c r="D25" s="184"/>
      <c r="E25" s="184"/>
      <c r="F25" s="184"/>
      <c r="G25" s="184"/>
      <c r="H25" s="184"/>
      <c r="I25" s="184"/>
      <c r="J25" s="184"/>
      <c r="K25" s="184"/>
      <c r="L25" s="184"/>
      <c r="M25" s="184"/>
    </row>
    <row r="26" spans="2:13" s="184" customFormat="1" ht="12.75" x14ac:dyDescent="0.2">
      <c r="B26" s="186">
        <v>6</v>
      </c>
      <c r="C26" s="184" t="s">
        <v>15</v>
      </c>
      <c r="M26" s="185"/>
    </row>
    <row r="27" spans="2:13" s="184" customFormat="1" ht="12.75" x14ac:dyDescent="0.2">
      <c r="C27" s="184" t="s">
        <v>16</v>
      </c>
    </row>
    <row r="28" spans="2:13" s="184" customFormat="1" ht="12.75" x14ac:dyDescent="0.2"/>
    <row r="29" spans="2:13" s="184" customFormat="1" ht="12.75" x14ac:dyDescent="0.2"/>
    <row r="30" spans="2:13" s="184" customFormat="1" ht="12.75" x14ac:dyDescent="0.2"/>
    <row r="31" spans="2:13" s="184" customFormat="1" ht="12.75" x14ac:dyDescent="0.2">
      <c r="B31" s="185" t="s">
        <v>17</v>
      </c>
      <c r="K31" s="185" t="s">
        <v>18</v>
      </c>
    </row>
    <row r="32" spans="2:13" s="184" customFormat="1" ht="12.75" x14ac:dyDescent="0.2"/>
    <row r="33" spans="1:1" s="184" customFormat="1" ht="12.75" x14ac:dyDescent="0.2"/>
    <row r="34" spans="1:1" s="184" customFormat="1" ht="12.75" customHeight="1" x14ac:dyDescent="0.2"/>
    <row r="35" spans="1:1" s="184" customFormat="1" ht="12.75" x14ac:dyDescent="0.2"/>
    <row r="36" spans="1:1" s="185" customFormat="1" ht="12.75" x14ac:dyDescent="0.2"/>
    <row r="37" spans="1:1" s="184" customFormat="1" ht="12.75" x14ac:dyDescent="0.2">
      <c r="A37" s="186"/>
    </row>
    <row r="38" spans="1:1" s="184" customFormat="1" ht="12.75" x14ac:dyDescent="0.2">
      <c r="A38" s="187"/>
    </row>
    <row r="39" spans="1:1" s="184" customFormat="1" ht="12.75" x14ac:dyDescent="0.2">
      <c r="A39" s="186"/>
    </row>
    <row r="40" spans="1:1" s="184" customFormat="1" ht="12.75" x14ac:dyDescent="0.2">
      <c r="A40" s="186"/>
    </row>
    <row r="41" spans="1:1" s="184" customFormat="1" ht="12.75" x14ac:dyDescent="0.2">
      <c r="A41" s="186"/>
    </row>
    <row r="42" spans="1:1" s="184" customFormat="1" ht="12.75" x14ac:dyDescent="0.2">
      <c r="A42" s="186"/>
    </row>
    <row r="43" spans="1:1" s="184" customFormat="1" ht="12.75" x14ac:dyDescent="0.2">
      <c r="A43" s="186"/>
    </row>
    <row r="44" spans="1:1" s="184" customFormat="1" ht="12.75" x14ac:dyDescent="0.2">
      <c r="A44" s="186"/>
    </row>
    <row r="45" spans="1:1" s="184" customFormat="1" ht="12.75" x14ac:dyDescent="0.2">
      <c r="A45" s="186"/>
    </row>
    <row r="46" spans="1:1" s="184" customFormat="1" ht="12.75" x14ac:dyDescent="0.2">
      <c r="A46" s="186"/>
    </row>
    <row r="47" spans="1:1" s="184" customFormat="1" ht="12.75" x14ac:dyDescent="0.2"/>
  </sheetData>
  <sheetProtection algorithmName="SHA-512" hashValue="AtRvMhMzKeelV2BI4qPz0Ln+0GEBGybSK+oCEs9Sriub+2SikF+hI7JHM4/Wu4eBDr9xZftY/H24UVI75XAqzg==" saltValue="Z3bLay5vAkPc0fDdzzxTGw==" spinCount="100000" sheet="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0"/>
  <sheetViews>
    <sheetView topLeftCell="A30" workbookViewId="0">
      <selection activeCell="C41" sqref="C41"/>
    </sheetView>
  </sheetViews>
  <sheetFormatPr defaultRowHeight="11.25" x14ac:dyDescent="0.15"/>
  <cols>
    <col min="1" max="1" width="13.85546875" style="3" customWidth="1"/>
    <col min="2" max="2" width="15.42578125" style="3" customWidth="1"/>
    <col min="3" max="3" width="9.42578125" style="3" customWidth="1"/>
    <col min="4" max="4" width="9.140625" style="3"/>
    <col min="5" max="5" width="14.5703125" style="3" customWidth="1"/>
    <col min="6" max="6" width="18.42578125" style="3" bestFit="1" customWidth="1"/>
    <col min="7" max="8" width="7.28515625" style="3" customWidth="1"/>
    <col min="9" max="9" width="23.28515625" style="3" customWidth="1"/>
    <col min="10" max="10" width="10.7109375" style="3" customWidth="1"/>
    <col min="11" max="11" width="5.28515625" style="3" customWidth="1"/>
    <col min="12" max="12" width="21.5703125" style="3" customWidth="1"/>
    <col min="13" max="13" width="7.28515625" style="3" customWidth="1"/>
    <col min="14" max="14" width="5.28515625" style="3" customWidth="1"/>
    <col min="15" max="15" width="19.5703125" style="3" customWidth="1"/>
    <col min="16" max="16" width="8.28515625" style="3" customWidth="1"/>
    <col min="17" max="17" width="5.28515625" style="3" customWidth="1"/>
    <col min="18" max="18" width="18.85546875" style="3" bestFit="1" customWidth="1"/>
    <col min="19" max="19" width="10.42578125" style="3" customWidth="1"/>
    <col min="20" max="20" width="5.28515625" style="3" customWidth="1"/>
    <col min="21" max="21" width="18.85546875" style="3" bestFit="1" customWidth="1"/>
    <col min="22" max="22" width="10.5703125" style="3" customWidth="1"/>
    <col min="23" max="16384" width="9.140625" style="3"/>
  </cols>
  <sheetData>
    <row r="1" spans="1:22" x14ac:dyDescent="0.15">
      <c r="A1" s="1" t="s">
        <v>23</v>
      </c>
      <c r="B1" s="1"/>
      <c r="C1" s="1"/>
      <c r="D1" s="1"/>
      <c r="E1" s="1"/>
      <c r="F1" s="1"/>
      <c r="G1" s="1"/>
      <c r="H1" s="1"/>
      <c r="I1" s="1"/>
      <c r="J1" s="2"/>
      <c r="K1" s="2"/>
      <c r="L1" s="2"/>
      <c r="M1" s="2"/>
      <c r="N1" s="2"/>
      <c r="O1" s="2"/>
      <c r="P1" s="2"/>
      <c r="Q1" s="2"/>
      <c r="R1" s="2"/>
      <c r="S1" s="2"/>
      <c r="T1" s="2"/>
      <c r="U1" s="2"/>
    </row>
    <row r="4" spans="1:22" x14ac:dyDescent="0.15">
      <c r="A4" s="4" t="s">
        <v>24</v>
      </c>
      <c r="B4" s="4"/>
      <c r="C4" s="4"/>
      <c r="D4" s="4"/>
      <c r="E4" s="4"/>
      <c r="F4" s="4"/>
      <c r="G4" s="4"/>
      <c r="H4" s="4"/>
      <c r="I4" s="4"/>
      <c r="J4" s="4"/>
      <c r="K4" s="4"/>
      <c r="L4" s="4"/>
      <c r="M4" s="4"/>
      <c r="O4" s="5" t="s">
        <v>25</v>
      </c>
      <c r="P4" s="6"/>
      <c r="Q4" s="6"/>
      <c r="R4" s="6"/>
      <c r="S4" s="6"/>
      <c r="T4" s="6"/>
      <c r="U4" s="6"/>
      <c r="V4" s="6"/>
    </row>
    <row r="8" spans="1:22" ht="27" customHeight="1" x14ac:dyDescent="0.15">
      <c r="A8" s="197" t="s">
        <v>26</v>
      </c>
      <c r="B8" s="198"/>
      <c r="C8" s="199"/>
      <c r="F8" s="200" t="s">
        <v>27</v>
      </c>
      <c r="G8" s="201"/>
      <c r="H8" s="7"/>
      <c r="I8" s="195" t="s">
        <v>28</v>
      </c>
      <c r="J8" s="196"/>
      <c r="K8" s="8"/>
      <c r="L8" s="195" t="s">
        <v>29</v>
      </c>
      <c r="M8" s="196"/>
      <c r="N8" s="8"/>
      <c r="O8" s="195" t="s">
        <v>30</v>
      </c>
      <c r="P8" s="196"/>
      <c r="Q8" s="9"/>
      <c r="R8" s="195" t="s">
        <v>31</v>
      </c>
      <c r="S8" s="196"/>
      <c r="T8" s="9"/>
      <c r="U8" s="195" t="s">
        <v>32</v>
      </c>
      <c r="V8" s="196"/>
    </row>
    <row r="9" spans="1:22" x14ac:dyDescent="0.15">
      <c r="A9" s="10"/>
      <c r="B9" s="11"/>
      <c r="C9" s="12"/>
      <c r="F9" s="13"/>
      <c r="G9" s="14"/>
      <c r="H9" s="15"/>
      <c r="I9" s="10"/>
      <c r="J9" s="16"/>
      <c r="K9" s="8"/>
      <c r="L9" s="10"/>
      <c r="M9" s="16"/>
      <c r="N9" s="8"/>
      <c r="O9" s="10"/>
      <c r="P9" s="16"/>
      <c r="Q9" s="8"/>
      <c r="R9" s="10"/>
      <c r="S9" s="16"/>
      <c r="T9" s="8"/>
      <c r="U9" s="10"/>
      <c r="V9" s="16"/>
    </row>
    <row r="10" spans="1:22" x14ac:dyDescent="0.15">
      <c r="A10" s="10" t="s">
        <v>33</v>
      </c>
      <c r="B10" s="11">
        <v>1</v>
      </c>
      <c r="C10" s="12"/>
      <c r="F10" s="17" t="s">
        <v>33</v>
      </c>
      <c r="G10" s="18">
        <v>21</v>
      </c>
      <c r="H10" s="11"/>
      <c r="I10" s="10" t="s">
        <v>33</v>
      </c>
      <c r="J10" s="12">
        <v>18</v>
      </c>
      <c r="L10" s="10" t="s">
        <v>33</v>
      </c>
      <c r="M10" s="12">
        <v>21</v>
      </c>
      <c r="O10" s="10" t="s">
        <v>33</v>
      </c>
      <c r="P10" s="12">
        <v>9</v>
      </c>
      <c r="R10" s="10" t="s">
        <v>33</v>
      </c>
      <c r="S10" s="12">
        <v>11</v>
      </c>
      <c r="U10" s="10" t="s">
        <v>33</v>
      </c>
      <c r="V10" s="12">
        <v>11</v>
      </c>
    </row>
    <row r="11" spans="1:22" x14ac:dyDescent="0.15">
      <c r="A11" s="10" t="s">
        <v>34</v>
      </c>
      <c r="B11" s="11" t="str">
        <f>INDEX(B13:B20,B10)</f>
        <v>Wales</v>
      </c>
      <c r="C11" s="12" t="str">
        <f>INDEX(A13:A20,B10)</f>
        <v>Wales</v>
      </c>
      <c r="F11" s="17" t="s">
        <v>34</v>
      </c>
      <c r="G11" s="19">
        <f>INDEX(G13:G58, G10)</f>
        <v>2.5</v>
      </c>
      <c r="H11" s="20"/>
      <c r="I11" s="10" t="s">
        <v>34</v>
      </c>
      <c r="J11" s="21">
        <f>INDEX(J13:J47, J10)</f>
        <v>8.5</v>
      </c>
      <c r="L11" s="10" t="s">
        <v>34</v>
      </c>
      <c r="M11" s="21">
        <f>INDEX(M13:M53, M10)</f>
        <v>0.2</v>
      </c>
      <c r="O11" s="10" t="s">
        <v>34</v>
      </c>
      <c r="P11" s="22">
        <f>INDEX(P13:P29, P10)</f>
        <v>0</v>
      </c>
      <c r="R11" s="10" t="s">
        <v>34</v>
      </c>
      <c r="S11" s="22">
        <f>INDEX(S13:S33, S10)</f>
        <v>0</v>
      </c>
      <c r="U11" s="10" t="s">
        <v>34</v>
      </c>
      <c r="V11" s="22">
        <f>INDEX(V13:V33, V10)</f>
        <v>0</v>
      </c>
    </row>
    <row r="12" spans="1:22" x14ac:dyDescent="0.15">
      <c r="A12" s="10"/>
      <c r="B12" s="11"/>
      <c r="C12" s="12"/>
      <c r="F12" s="17"/>
      <c r="G12" s="18"/>
      <c r="H12" s="11"/>
      <c r="I12" s="10"/>
      <c r="J12" s="12"/>
      <c r="L12" s="10"/>
      <c r="M12" s="12"/>
      <c r="O12" s="10"/>
      <c r="P12" s="12"/>
      <c r="R12" s="10"/>
      <c r="S12" s="12"/>
      <c r="U12" s="10"/>
      <c r="V12" s="12"/>
    </row>
    <row r="13" spans="1:22" x14ac:dyDescent="0.15">
      <c r="A13" s="10" t="s">
        <v>35</v>
      </c>
      <c r="B13" s="11" t="s">
        <v>35</v>
      </c>
      <c r="C13" s="12"/>
      <c r="F13" s="23">
        <v>5.0000000000000001E-3</v>
      </c>
      <c r="G13" s="12">
        <v>0.5</v>
      </c>
      <c r="H13" s="20"/>
      <c r="I13" s="23">
        <v>0</v>
      </c>
      <c r="J13" s="21">
        <v>0</v>
      </c>
      <c r="K13" s="25"/>
      <c r="L13" s="24">
        <v>0</v>
      </c>
      <c r="M13" s="26">
        <v>0</v>
      </c>
      <c r="O13" s="27" t="s">
        <v>36</v>
      </c>
      <c r="P13" s="22">
        <v>2</v>
      </c>
      <c r="Q13" s="25"/>
      <c r="R13" s="27" t="s">
        <v>264</v>
      </c>
      <c r="S13" s="22">
        <v>0.1</v>
      </c>
      <c r="U13" s="10" t="s">
        <v>38</v>
      </c>
      <c r="V13" s="21">
        <v>1</v>
      </c>
    </row>
    <row r="14" spans="1:22" x14ac:dyDescent="0.15">
      <c r="A14" s="10" t="s">
        <v>39</v>
      </c>
      <c r="B14" s="11" t="s">
        <v>40</v>
      </c>
      <c r="C14" s="12" t="s">
        <v>41</v>
      </c>
      <c r="F14" s="23">
        <v>6.0000000000000001E-3</v>
      </c>
      <c r="G14" s="12">
        <v>0.6</v>
      </c>
      <c r="H14" s="20"/>
      <c r="I14" s="23">
        <v>5.0000000000000001E-3</v>
      </c>
      <c r="J14" s="21">
        <v>0.5</v>
      </c>
      <c r="K14" s="25"/>
      <c r="L14" s="24">
        <v>1E-4</v>
      </c>
      <c r="M14" s="26">
        <v>0.01</v>
      </c>
      <c r="O14" s="27" t="s">
        <v>42</v>
      </c>
      <c r="P14" s="22">
        <v>1.75</v>
      </c>
      <c r="R14" s="27" t="s">
        <v>43</v>
      </c>
      <c r="S14" s="22">
        <v>0.09</v>
      </c>
      <c r="U14" s="27" t="s">
        <v>44</v>
      </c>
      <c r="V14" s="12">
        <v>0.9</v>
      </c>
    </row>
    <row r="15" spans="1:22" x14ac:dyDescent="0.15">
      <c r="A15" s="10" t="s">
        <v>45</v>
      </c>
      <c r="B15" s="11" t="s">
        <v>46</v>
      </c>
      <c r="C15" s="12"/>
      <c r="F15" s="23">
        <v>7.0000000000000001E-3</v>
      </c>
      <c r="G15" s="12">
        <v>0.7</v>
      </c>
      <c r="H15" s="20"/>
      <c r="I15" s="23">
        <v>0.01</v>
      </c>
      <c r="J15" s="28">
        <v>1</v>
      </c>
      <c r="K15" s="25"/>
      <c r="L15" s="24">
        <v>2.0000000000000001E-4</v>
      </c>
      <c r="M15" s="26">
        <v>0.02</v>
      </c>
      <c r="O15" s="27" t="s">
        <v>47</v>
      </c>
      <c r="P15" s="22">
        <v>1.5</v>
      </c>
      <c r="Q15" s="25"/>
      <c r="R15" s="27" t="s">
        <v>48</v>
      </c>
      <c r="S15" s="22">
        <v>0.08</v>
      </c>
      <c r="U15" s="27" t="s">
        <v>49</v>
      </c>
      <c r="V15" s="21">
        <v>0.8</v>
      </c>
    </row>
    <row r="16" spans="1:22" x14ac:dyDescent="0.15">
      <c r="A16" s="10" t="s">
        <v>50</v>
      </c>
      <c r="B16" s="11" t="s">
        <v>51</v>
      </c>
      <c r="C16" s="12"/>
      <c r="F16" s="23">
        <v>8.0000000000000002E-3</v>
      </c>
      <c r="G16" s="12">
        <v>0.8</v>
      </c>
      <c r="H16" s="20"/>
      <c r="I16" s="23">
        <v>1.4999999999999999E-2</v>
      </c>
      <c r="J16" s="28">
        <v>1.5</v>
      </c>
      <c r="K16" s="25"/>
      <c r="L16" s="24">
        <v>2.9999999999999997E-4</v>
      </c>
      <c r="M16" s="26">
        <v>0.03</v>
      </c>
      <c r="O16" s="27" t="s">
        <v>52</v>
      </c>
      <c r="P16" s="22">
        <v>1.25</v>
      </c>
      <c r="R16" s="27" t="s">
        <v>53</v>
      </c>
      <c r="S16" s="22">
        <v>7.0000000000000007E-2</v>
      </c>
      <c r="U16" s="27" t="s">
        <v>54</v>
      </c>
      <c r="V16" s="12">
        <v>0.7</v>
      </c>
    </row>
    <row r="17" spans="1:22" x14ac:dyDescent="0.15">
      <c r="A17" s="10" t="s">
        <v>55</v>
      </c>
      <c r="B17" s="11" t="s">
        <v>56</v>
      </c>
      <c r="C17" s="12" t="s">
        <v>41</v>
      </c>
      <c r="F17" s="23">
        <v>8.9999999999999993E-3</v>
      </c>
      <c r="G17" s="12">
        <v>0.9</v>
      </c>
      <c r="H17" s="20"/>
      <c r="I17" s="23">
        <v>0.02</v>
      </c>
      <c r="J17" s="28">
        <v>2</v>
      </c>
      <c r="K17" s="25"/>
      <c r="L17" s="24">
        <v>4.0000000000000002E-4</v>
      </c>
      <c r="M17" s="26">
        <v>0.04</v>
      </c>
      <c r="O17" s="27" t="s">
        <v>57</v>
      </c>
      <c r="P17" s="22">
        <v>1</v>
      </c>
      <c r="Q17" s="25"/>
      <c r="R17" s="27" t="s">
        <v>58</v>
      </c>
      <c r="S17" s="22">
        <v>0.06</v>
      </c>
      <c r="U17" s="27" t="s">
        <v>59</v>
      </c>
      <c r="V17" s="21">
        <v>0.6</v>
      </c>
    </row>
    <row r="18" spans="1:22" x14ac:dyDescent="0.15">
      <c r="A18" s="10" t="s">
        <v>60</v>
      </c>
      <c r="B18" s="11" t="s">
        <v>61</v>
      </c>
      <c r="C18" s="12" t="s">
        <v>41</v>
      </c>
      <c r="F18" s="32">
        <v>0.01</v>
      </c>
      <c r="G18" s="19">
        <v>1</v>
      </c>
      <c r="H18" s="20"/>
      <c r="I18" s="23">
        <v>2.5000000000000001E-2</v>
      </c>
      <c r="J18" s="28">
        <v>2.5</v>
      </c>
      <c r="K18" s="25"/>
      <c r="L18" s="24">
        <v>5.0000000000000001E-4</v>
      </c>
      <c r="M18" s="22">
        <v>0.05</v>
      </c>
      <c r="O18" s="27" t="s">
        <v>62</v>
      </c>
      <c r="P18" s="22">
        <v>0.75</v>
      </c>
      <c r="R18" s="27" t="s">
        <v>63</v>
      </c>
      <c r="S18" s="22">
        <v>0.05</v>
      </c>
      <c r="U18" s="27" t="s">
        <v>64</v>
      </c>
      <c r="V18" s="12">
        <v>0.5</v>
      </c>
    </row>
    <row r="19" spans="1:22" x14ac:dyDescent="0.15">
      <c r="A19" s="10" t="s">
        <v>65</v>
      </c>
      <c r="B19" s="11" t="s">
        <v>66</v>
      </c>
      <c r="C19" s="12"/>
      <c r="F19" s="32">
        <v>1.0999999999999999E-2</v>
      </c>
      <c r="G19" s="19">
        <v>1.1000000000000001</v>
      </c>
      <c r="H19" s="20"/>
      <c r="I19" s="23">
        <v>0.03</v>
      </c>
      <c r="J19" s="21">
        <v>3</v>
      </c>
      <c r="K19" s="25"/>
      <c r="L19" s="24">
        <v>5.9999999999999995E-4</v>
      </c>
      <c r="M19" s="26">
        <v>0.06</v>
      </c>
      <c r="O19" s="27" t="s">
        <v>67</v>
      </c>
      <c r="P19" s="22">
        <v>0.5</v>
      </c>
      <c r="Q19" s="25"/>
      <c r="R19" s="27" t="s">
        <v>68</v>
      </c>
      <c r="S19" s="22">
        <v>0.04</v>
      </c>
      <c r="U19" s="27" t="s">
        <v>69</v>
      </c>
      <c r="V19" s="21">
        <v>0.4</v>
      </c>
    </row>
    <row r="20" spans="1:22" x14ac:dyDescent="0.15">
      <c r="A20" s="29" t="s">
        <v>70</v>
      </c>
      <c r="B20" s="30" t="s">
        <v>71</v>
      </c>
      <c r="C20" s="31"/>
      <c r="F20" s="32">
        <v>1.2E-2</v>
      </c>
      <c r="G20" s="19">
        <v>1.2</v>
      </c>
      <c r="H20" s="20"/>
      <c r="I20" s="23">
        <v>3.5000000000000003E-2</v>
      </c>
      <c r="J20" s="21">
        <v>3.5</v>
      </c>
      <c r="K20" s="25"/>
      <c r="L20" s="24">
        <v>6.9999999999999999E-4</v>
      </c>
      <c r="M20" s="26">
        <v>7.0000000000000007E-2</v>
      </c>
      <c r="O20" s="27" t="s">
        <v>72</v>
      </c>
      <c r="P20" s="22">
        <v>0.25</v>
      </c>
      <c r="R20" s="27" t="s">
        <v>73</v>
      </c>
      <c r="S20" s="22">
        <v>0.03</v>
      </c>
      <c r="U20" s="27" t="s">
        <v>74</v>
      </c>
      <c r="V20" s="12">
        <v>0.3</v>
      </c>
    </row>
    <row r="21" spans="1:22" x14ac:dyDescent="0.15">
      <c r="F21" s="32">
        <v>1.2999999999999999E-2</v>
      </c>
      <c r="G21" s="19">
        <v>1.3</v>
      </c>
      <c r="H21" s="20"/>
      <c r="I21" s="23">
        <v>0.04</v>
      </c>
      <c r="J21" s="28">
        <v>4</v>
      </c>
      <c r="K21" s="25"/>
      <c r="L21" s="24">
        <v>8.0000000000000004E-4</v>
      </c>
      <c r="M21" s="26">
        <v>0.08</v>
      </c>
      <c r="O21" s="27" t="s">
        <v>75</v>
      </c>
      <c r="P21" s="22">
        <v>0</v>
      </c>
      <c r="Q21" s="25"/>
      <c r="R21" s="27" t="s">
        <v>76</v>
      </c>
      <c r="S21" s="22">
        <v>0.02</v>
      </c>
      <c r="U21" s="27" t="s">
        <v>77</v>
      </c>
      <c r="V21" s="21">
        <v>0.2</v>
      </c>
    </row>
    <row r="22" spans="1:22" x14ac:dyDescent="0.15">
      <c r="F22" s="32">
        <v>1.4E-2</v>
      </c>
      <c r="G22" s="19">
        <v>1.4</v>
      </c>
      <c r="H22" s="20"/>
      <c r="I22" s="23">
        <v>4.4999999999999998E-2</v>
      </c>
      <c r="J22" s="28">
        <v>4.5</v>
      </c>
      <c r="K22" s="25"/>
      <c r="L22" s="24">
        <v>8.9999999999999998E-4</v>
      </c>
      <c r="M22" s="26">
        <v>0.09</v>
      </c>
      <c r="O22" s="27" t="s">
        <v>78</v>
      </c>
      <c r="P22" s="26">
        <v>-0.25</v>
      </c>
      <c r="R22" s="27" t="s">
        <v>79</v>
      </c>
      <c r="S22" s="22">
        <v>0.01</v>
      </c>
      <c r="U22" s="27" t="s">
        <v>37</v>
      </c>
      <c r="V22" s="12">
        <v>0.1</v>
      </c>
    </row>
    <row r="23" spans="1:22" x14ac:dyDescent="0.15">
      <c r="F23" s="32">
        <v>1.4999999999999999E-2</v>
      </c>
      <c r="G23" s="19">
        <v>1.5</v>
      </c>
      <c r="H23" s="20"/>
      <c r="I23" s="23">
        <v>0.05</v>
      </c>
      <c r="J23" s="28">
        <v>5</v>
      </c>
      <c r="K23" s="25"/>
      <c r="L23" s="24">
        <v>1E-3</v>
      </c>
      <c r="M23" s="22">
        <v>0.1</v>
      </c>
      <c r="O23" s="27" t="s">
        <v>267</v>
      </c>
      <c r="P23" s="26">
        <v>-0.5</v>
      </c>
      <c r="Q23" s="25"/>
      <c r="R23" s="27" t="s">
        <v>75</v>
      </c>
      <c r="S23" s="22">
        <v>0</v>
      </c>
      <c r="U23" s="27" t="s">
        <v>75</v>
      </c>
      <c r="V23" s="21">
        <v>0</v>
      </c>
    </row>
    <row r="24" spans="1:22" x14ac:dyDescent="0.15">
      <c r="F24" s="32">
        <v>1.6E-2</v>
      </c>
      <c r="G24" s="19">
        <v>1.6</v>
      </c>
      <c r="H24" s="20"/>
      <c r="I24" s="23">
        <v>5.5E-2</v>
      </c>
      <c r="J24" s="28">
        <v>5.5</v>
      </c>
      <c r="K24" s="25"/>
      <c r="L24" s="24">
        <v>1.1000000000000001E-3</v>
      </c>
      <c r="M24" s="26">
        <v>0.11</v>
      </c>
      <c r="O24" s="27" t="s">
        <v>81</v>
      </c>
      <c r="P24" s="22">
        <v>-0.75</v>
      </c>
      <c r="Q24" s="25"/>
      <c r="R24" s="27" t="s">
        <v>82</v>
      </c>
      <c r="S24" s="22">
        <v>-0.01</v>
      </c>
      <c r="U24" s="27" t="s">
        <v>83</v>
      </c>
      <c r="V24" s="12">
        <v>-0.1</v>
      </c>
    </row>
    <row r="25" spans="1:22" x14ac:dyDescent="0.15">
      <c r="F25" s="32">
        <v>1.7000000000000001E-2</v>
      </c>
      <c r="G25" s="19">
        <v>1.7</v>
      </c>
      <c r="H25" s="20"/>
      <c r="I25" s="23">
        <v>0.06</v>
      </c>
      <c r="J25" s="22">
        <v>6</v>
      </c>
      <c r="K25" s="25"/>
      <c r="L25" s="24">
        <v>1.1999999999999999E-3</v>
      </c>
      <c r="M25" s="26">
        <v>0.12</v>
      </c>
      <c r="O25" s="27" t="s">
        <v>84</v>
      </c>
      <c r="P25" s="22">
        <v>-1</v>
      </c>
      <c r="Q25" s="25"/>
      <c r="R25" s="27" t="s">
        <v>85</v>
      </c>
      <c r="S25" s="22">
        <v>-0.02</v>
      </c>
      <c r="U25" s="27" t="s">
        <v>86</v>
      </c>
      <c r="V25" s="21">
        <v>-0.2</v>
      </c>
    </row>
    <row r="26" spans="1:22" x14ac:dyDescent="0.15">
      <c r="F26" s="32">
        <v>1.7999999999999999E-2</v>
      </c>
      <c r="G26" s="19">
        <v>1.8</v>
      </c>
      <c r="H26" s="20"/>
      <c r="I26" s="23">
        <v>6.5000000000000002E-2</v>
      </c>
      <c r="J26" s="22">
        <v>6.5</v>
      </c>
      <c r="K26" s="25"/>
      <c r="L26" s="24">
        <v>1.2999999999999999E-3</v>
      </c>
      <c r="M26" s="26">
        <v>0.13</v>
      </c>
      <c r="O26" s="27" t="s">
        <v>87</v>
      </c>
      <c r="P26" s="22">
        <v>-1.25</v>
      </c>
      <c r="Q26" s="25"/>
      <c r="R26" s="27" t="s">
        <v>88</v>
      </c>
      <c r="S26" s="22">
        <v>-0.03</v>
      </c>
      <c r="U26" s="27" t="s">
        <v>89</v>
      </c>
      <c r="V26" s="12">
        <v>-0.3</v>
      </c>
    </row>
    <row r="27" spans="1:22" x14ac:dyDescent="0.15">
      <c r="F27" s="32">
        <v>1.9E-2</v>
      </c>
      <c r="G27" s="19">
        <v>1.9</v>
      </c>
      <c r="H27" s="20"/>
      <c r="I27" s="23">
        <v>7.0000000000000007E-2</v>
      </c>
      <c r="J27" s="22">
        <v>7</v>
      </c>
      <c r="K27" s="25"/>
      <c r="L27" s="24">
        <v>1.4E-3</v>
      </c>
      <c r="M27" s="22">
        <v>0.14000000000000001</v>
      </c>
      <c r="O27" s="27" t="s">
        <v>266</v>
      </c>
      <c r="P27" s="22">
        <v>-1.5</v>
      </c>
      <c r="Q27" s="25"/>
      <c r="R27" s="27" t="s">
        <v>90</v>
      </c>
      <c r="S27" s="22">
        <v>-0.04</v>
      </c>
      <c r="U27" s="27" t="s">
        <v>91</v>
      </c>
      <c r="V27" s="21">
        <v>-0.4</v>
      </c>
    </row>
    <row r="28" spans="1:22" x14ac:dyDescent="0.15">
      <c r="F28" s="38">
        <v>0.02</v>
      </c>
      <c r="G28" s="19">
        <v>2</v>
      </c>
      <c r="H28" s="20"/>
      <c r="I28" s="23">
        <v>7.4999999999999997E-2</v>
      </c>
      <c r="J28" s="22">
        <v>7.5</v>
      </c>
      <c r="K28" s="25"/>
      <c r="L28" s="24">
        <v>1.5E-3</v>
      </c>
      <c r="M28" s="22">
        <v>0.15</v>
      </c>
      <c r="O28" s="27" t="s">
        <v>92</v>
      </c>
      <c r="P28" s="22">
        <v>-1.75</v>
      </c>
      <c r="Q28" s="25"/>
      <c r="R28" s="27" t="s">
        <v>93</v>
      </c>
      <c r="S28" s="22">
        <v>-0.05</v>
      </c>
      <c r="U28" s="27" t="s">
        <v>80</v>
      </c>
      <c r="V28" s="12">
        <v>-0.5</v>
      </c>
    </row>
    <row r="29" spans="1:22" x14ac:dyDescent="0.15">
      <c r="F29" s="32">
        <v>2.1000000000000001E-2</v>
      </c>
      <c r="G29" s="19">
        <v>2.1</v>
      </c>
      <c r="H29" s="20"/>
      <c r="I29" s="23">
        <v>0.08</v>
      </c>
      <c r="J29" s="22">
        <v>8</v>
      </c>
      <c r="K29" s="25"/>
      <c r="L29" s="24">
        <v>1.6000000000000001E-3</v>
      </c>
      <c r="M29" s="26">
        <v>0.16</v>
      </c>
      <c r="O29" s="27" t="s">
        <v>94</v>
      </c>
      <c r="P29" s="22">
        <v>-2</v>
      </c>
      <c r="Q29" s="25"/>
      <c r="R29" s="27" t="s">
        <v>95</v>
      </c>
      <c r="S29" s="22">
        <v>-0.06</v>
      </c>
      <c r="U29" s="27" t="s">
        <v>96</v>
      </c>
      <c r="V29" s="21">
        <v>-0.6</v>
      </c>
    </row>
    <row r="30" spans="1:22" x14ac:dyDescent="0.15">
      <c r="F30" s="32">
        <v>2.1999999999999999E-2</v>
      </c>
      <c r="G30" s="19">
        <v>2.2000000000000002</v>
      </c>
      <c r="H30" s="20"/>
      <c r="I30" s="33" t="s">
        <v>97</v>
      </c>
      <c r="J30" s="22">
        <v>8.5</v>
      </c>
      <c r="K30" s="25"/>
      <c r="L30" s="24">
        <v>1.6999999999999999E-3</v>
      </c>
      <c r="M30" s="26">
        <v>0.17</v>
      </c>
      <c r="O30" s="34"/>
      <c r="P30" s="35"/>
      <c r="Q30" s="25"/>
      <c r="R30" s="27" t="s">
        <v>98</v>
      </c>
      <c r="S30" s="22">
        <v>-7.0000000000000007E-2</v>
      </c>
      <c r="U30" s="27" t="s">
        <v>99</v>
      </c>
      <c r="V30" s="12">
        <v>-0.7</v>
      </c>
    </row>
    <row r="31" spans="1:22" x14ac:dyDescent="0.15">
      <c r="F31" s="32">
        <v>2.3E-2</v>
      </c>
      <c r="G31" s="19">
        <v>2.2999999999999998</v>
      </c>
      <c r="H31" s="20"/>
      <c r="I31" s="33">
        <v>0.09</v>
      </c>
      <c r="J31" s="22">
        <v>9</v>
      </c>
      <c r="K31" s="25"/>
      <c r="L31" s="24">
        <v>1.8E-3</v>
      </c>
      <c r="M31" s="22">
        <v>0.18</v>
      </c>
      <c r="O31" s="11"/>
      <c r="P31" s="36"/>
      <c r="Q31" s="25"/>
      <c r="R31" s="27" t="s">
        <v>100</v>
      </c>
      <c r="S31" s="22">
        <v>-0.08</v>
      </c>
      <c r="U31" s="27" t="s">
        <v>101</v>
      </c>
      <c r="V31" s="21">
        <v>-0.8</v>
      </c>
    </row>
    <row r="32" spans="1:22" x14ac:dyDescent="0.15">
      <c r="F32" s="32">
        <v>2.4E-2</v>
      </c>
      <c r="G32" s="19">
        <v>2.4</v>
      </c>
      <c r="H32" s="20"/>
      <c r="I32" s="23">
        <v>9.5000000000000001E-2</v>
      </c>
      <c r="J32" s="22">
        <v>9.5</v>
      </c>
      <c r="K32" s="25"/>
      <c r="L32" s="24">
        <v>1.9E-3</v>
      </c>
      <c r="M32" s="22">
        <v>0.19</v>
      </c>
      <c r="O32" s="37"/>
      <c r="P32" s="36"/>
      <c r="Q32" s="25"/>
      <c r="R32" s="27" t="s">
        <v>102</v>
      </c>
      <c r="S32" s="22">
        <v>-0.09</v>
      </c>
      <c r="U32" s="27" t="s">
        <v>103</v>
      </c>
      <c r="V32" s="12">
        <v>-0.9</v>
      </c>
    </row>
    <row r="33" spans="5:22" x14ac:dyDescent="0.15">
      <c r="F33" s="38" t="s">
        <v>108</v>
      </c>
      <c r="G33" s="19">
        <v>2.5</v>
      </c>
      <c r="H33" s="20"/>
      <c r="I33" s="23">
        <v>0.1</v>
      </c>
      <c r="J33" s="22">
        <v>10</v>
      </c>
      <c r="K33" s="25"/>
      <c r="L33" s="39" t="s">
        <v>104</v>
      </c>
      <c r="M33" s="22">
        <v>0.2</v>
      </c>
      <c r="O33" s="37"/>
      <c r="P33" s="36"/>
      <c r="Q33" s="25"/>
      <c r="R33" s="40" t="s">
        <v>265</v>
      </c>
      <c r="S33" s="41">
        <v>-0.1</v>
      </c>
      <c r="U33" s="40" t="s">
        <v>105</v>
      </c>
      <c r="V33" s="42">
        <v>-1</v>
      </c>
    </row>
    <row r="34" spans="5:22" x14ac:dyDescent="0.15">
      <c r="F34" s="32">
        <v>2.5999999999999999E-2</v>
      </c>
      <c r="G34" s="19">
        <v>2.6</v>
      </c>
      <c r="H34" s="20"/>
      <c r="I34" s="23">
        <v>0.105</v>
      </c>
      <c r="J34" s="22">
        <v>10.5</v>
      </c>
      <c r="K34" s="25"/>
      <c r="L34" s="24">
        <v>2.0999999999999999E-3</v>
      </c>
      <c r="M34" s="26">
        <v>0.21</v>
      </c>
      <c r="P34" s="11"/>
    </row>
    <row r="35" spans="5:22" x14ac:dyDescent="0.15">
      <c r="F35" s="32">
        <v>2.7E-2</v>
      </c>
      <c r="G35" s="19">
        <v>2.7</v>
      </c>
      <c r="H35" s="20"/>
      <c r="I35" s="23">
        <v>0.11</v>
      </c>
      <c r="J35" s="22">
        <v>11</v>
      </c>
      <c r="K35" s="25"/>
      <c r="L35" s="24">
        <v>2.2000000000000001E-3</v>
      </c>
      <c r="M35" s="26">
        <v>0.22</v>
      </c>
    </row>
    <row r="36" spans="5:22" x14ac:dyDescent="0.15">
      <c r="F36" s="32">
        <v>2.8000000000000001E-2</v>
      </c>
      <c r="G36" s="19">
        <v>2.8</v>
      </c>
      <c r="H36" s="20"/>
      <c r="I36" s="23">
        <v>0.115</v>
      </c>
      <c r="J36" s="22">
        <v>11.5</v>
      </c>
      <c r="K36" s="25"/>
      <c r="L36" s="24">
        <v>2.3E-3</v>
      </c>
      <c r="M36" s="22">
        <v>0.23</v>
      </c>
      <c r="O36" s="43" t="s">
        <v>106</v>
      </c>
      <c r="P36" s="44">
        <f>P40</f>
        <v>5</v>
      </c>
      <c r="R36" s="43" t="s">
        <v>106</v>
      </c>
      <c r="S36" s="3">
        <v>100</v>
      </c>
      <c r="U36" s="43" t="s">
        <v>106</v>
      </c>
      <c r="V36" s="3">
        <v>100</v>
      </c>
    </row>
    <row r="37" spans="5:22" x14ac:dyDescent="0.15">
      <c r="F37" s="32">
        <v>2.9000000000000001E-2</v>
      </c>
      <c r="G37" s="19">
        <v>2.9</v>
      </c>
      <c r="H37" s="20"/>
      <c r="I37" s="23">
        <v>0.12</v>
      </c>
      <c r="J37" s="22">
        <v>12</v>
      </c>
      <c r="K37" s="25"/>
      <c r="L37" s="24">
        <v>2.3999999999999998E-3</v>
      </c>
      <c r="M37" s="22">
        <v>0.24</v>
      </c>
      <c r="O37" s="43" t="s">
        <v>107</v>
      </c>
      <c r="P37" s="3">
        <v>0.5</v>
      </c>
      <c r="R37" s="43" t="s">
        <v>107</v>
      </c>
      <c r="S37" s="3">
        <v>0</v>
      </c>
      <c r="U37" s="43" t="s">
        <v>107</v>
      </c>
      <c r="V37" s="45">
        <v>0</v>
      </c>
    </row>
    <row r="38" spans="5:22" x14ac:dyDescent="0.15">
      <c r="F38" s="32">
        <v>0.03</v>
      </c>
      <c r="G38" s="19">
        <v>3</v>
      </c>
      <c r="H38" s="20"/>
      <c r="I38" s="23">
        <v>0.125</v>
      </c>
      <c r="J38" s="22">
        <v>12.5</v>
      </c>
      <c r="K38" s="25"/>
      <c r="L38" s="24">
        <v>2.5000000000000001E-3</v>
      </c>
      <c r="M38" s="22">
        <v>0.25</v>
      </c>
    </row>
    <row r="39" spans="5:22" x14ac:dyDescent="0.15">
      <c r="F39" s="32">
        <v>3.1E-2</v>
      </c>
      <c r="G39" s="19">
        <v>3.1</v>
      </c>
      <c r="H39" s="20"/>
      <c r="I39" s="23">
        <v>0.13</v>
      </c>
      <c r="J39" s="22">
        <v>13</v>
      </c>
      <c r="K39" s="25"/>
      <c r="L39" s="24">
        <v>2.5999999999999999E-3</v>
      </c>
      <c r="M39" s="26">
        <v>0.26</v>
      </c>
      <c r="O39" s="46" t="s">
        <v>33</v>
      </c>
      <c r="P39" s="47">
        <v>10</v>
      </c>
    </row>
    <row r="40" spans="5:22" x14ac:dyDescent="0.15">
      <c r="F40" s="32">
        <v>3.2000000000000001E-2</v>
      </c>
      <c r="G40" s="19">
        <v>3.2</v>
      </c>
      <c r="H40" s="20"/>
      <c r="I40" s="23">
        <v>0.13500000000000001</v>
      </c>
      <c r="J40" s="22">
        <v>13.5</v>
      </c>
      <c r="K40" s="25"/>
      <c r="L40" s="24">
        <v>2.7000000000000001E-3</v>
      </c>
      <c r="M40" s="26">
        <v>0.27</v>
      </c>
      <c r="O40" s="10" t="s">
        <v>34</v>
      </c>
      <c r="P40" s="22">
        <f>INDEX(P42:P62, P39)</f>
        <v>5</v>
      </c>
    </row>
    <row r="41" spans="5:22" x14ac:dyDescent="0.15">
      <c r="F41" s="32">
        <v>3.3000000000000002E-2</v>
      </c>
      <c r="G41" s="19">
        <v>3.3</v>
      </c>
      <c r="H41" s="20"/>
      <c r="I41" s="23">
        <v>0.14000000000000001</v>
      </c>
      <c r="J41" s="22">
        <v>14</v>
      </c>
      <c r="K41" s="25"/>
      <c r="L41" s="24">
        <v>2.8E-3</v>
      </c>
      <c r="M41" s="22">
        <v>0.28000000000000003</v>
      </c>
      <c r="O41" s="10"/>
      <c r="P41" s="12"/>
    </row>
    <row r="42" spans="5:22" x14ac:dyDescent="0.15">
      <c r="F42" s="32">
        <v>3.4000000000000002E-2</v>
      </c>
      <c r="G42" s="19">
        <v>3.4</v>
      </c>
      <c r="H42" s="20"/>
      <c r="I42" s="23">
        <v>0.14499999999999999</v>
      </c>
      <c r="J42" s="22">
        <v>14.5</v>
      </c>
      <c r="K42" s="25"/>
      <c r="L42" s="24">
        <v>2.8999999999999998E-3</v>
      </c>
      <c r="M42" s="22">
        <v>0.28999999999999998</v>
      </c>
      <c r="O42" s="23">
        <v>5.0000000000000001E-3</v>
      </c>
      <c r="P42" s="21">
        <v>0.5</v>
      </c>
    </row>
    <row r="43" spans="5:22" x14ac:dyDescent="0.15">
      <c r="F43" s="32">
        <v>3.5000000000000003E-2</v>
      </c>
      <c r="G43" s="19">
        <v>3.5</v>
      </c>
      <c r="H43" s="20"/>
      <c r="I43" s="23">
        <v>0.15</v>
      </c>
      <c r="J43" s="22">
        <v>15</v>
      </c>
      <c r="K43" s="25"/>
      <c r="L43" s="24">
        <v>3.0000000000000001E-3</v>
      </c>
      <c r="M43" s="22">
        <v>0.3</v>
      </c>
      <c r="O43" s="23">
        <v>0.01</v>
      </c>
      <c r="P43" s="21">
        <v>1</v>
      </c>
    </row>
    <row r="44" spans="5:22" x14ac:dyDescent="0.15">
      <c r="F44" s="32">
        <v>3.5999999999999997E-2</v>
      </c>
      <c r="G44" s="19">
        <v>3.6</v>
      </c>
      <c r="I44" s="23">
        <v>0.155</v>
      </c>
      <c r="J44" s="22">
        <v>15.5</v>
      </c>
      <c r="K44" s="25"/>
      <c r="L44" s="24">
        <v>3.0999999999999999E-3</v>
      </c>
      <c r="M44" s="26">
        <v>0.31</v>
      </c>
      <c r="O44" s="23">
        <v>1.4999999999999999E-2</v>
      </c>
      <c r="P44" s="21">
        <v>1.5</v>
      </c>
      <c r="Q44" s="25"/>
    </row>
    <row r="45" spans="5:22" x14ac:dyDescent="0.15">
      <c r="F45" s="32">
        <v>3.6999999999999998E-2</v>
      </c>
      <c r="G45" s="19">
        <v>3.7</v>
      </c>
      <c r="I45" s="23">
        <v>0.16</v>
      </c>
      <c r="J45" s="22">
        <v>16</v>
      </c>
      <c r="K45" s="25"/>
      <c r="L45" s="24">
        <v>3.2000000000000002E-3</v>
      </c>
      <c r="M45" s="26">
        <v>0.32</v>
      </c>
      <c r="O45" s="23">
        <v>0.02</v>
      </c>
      <c r="P45" s="21">
        <v>2</v>
      </c>
      <c r="Q45" s="25"/>
    </row>
    <row r="46" spans="5:22" x14ac:dyDescent="0.15">
      <c r="F46" s="32">
        <v>3.7999999999999999E-2</v>
      </c>
      <c r="G46" s="19">
        <v>3.8</v>
      </c>
      <c r="I46" s="23">
        <v>0.16500000000000001</v>
      </c>
      <c r="J46" s="22">
        <v>16.5</v>
      </c>
      <c r="K46" s="25"/>
      <c r="L46" s="24">
        <v>3.3E-3</v>
      </c>
      <c r="M46" s="22">
        <v>0.33</v>
      </c>
      <c r="O46" s="23">
        <v>2.5000000000000001E-2</v>
      </c>
      <c r="P46" s="21">
        <v>2.5</v>
      </c>
      <c r="Q46" s="25"/>
    </row>
    <row r="47" spans="5:22" x14ac:dyDescent="0.15">
      <c r="E47" s="49"/>
      <c r="F47" s="32">
        <v>3.9E-2</v>
      </c>
      <c r="G47" s="19">
        <v>3.9</v>
      </c>
      <c r="I47" s="23">
        <v>0.17</v>
      </c>
      <c r="J47" s="22">
        <v>17</v>
      </c>
      <c r="K47" s="25"/>
      <c r="L47" s="24">
        <v>3.3999999999999998E-3</v>
      </c>
      <c r="M47" s="22">
        <v>0.34</v>
      </c>
      <c r="O47" s="23">
        <v>0.03</v>
      </c>
      <c r="P47" s="21">
        <v>3</v>
      </c>
      <c r="Q47" s="25"/>
    </row>
    <row r="48" spans="5:22" x14ac:dyDescent="0.15">
      <c r="F48" s="23">
        <v>0.04</v>
      </c>
      <c r="G48" s="19">
        <v>4</v>
      </c>
      <c r="I48" s="34"/>
      <c r="J48" s="34"/>
      <c r="K48" s="25"/>
      <c r="L48" s="24">
        <v>3.5000000000000001E-3</v>
      </c>
      <c r="M48" s="22">
        <v>0.35</v>
      </c>
      <c r="O48" s="23">
        <v>3.5000000000000003E-2</v>
      </c>
      <c r="P48" s="21">
        <v>3.5</v>
      </c>
      <c r="Q48" s="25"/>
    </row>
    <row r="49" spans="6:17" x14ac:dyDescent="0.15">
      <c r="F49" s="23">
        <v>4.1000000000000002E-2</v>
      </c>
      <c r="G49" s="19">
        <v>4.0999999999999996</v>
      </c>
      <c r="K49" s="25"/>
      <c r="L49" s="24">
        <v>3.5999999999999999E-3</v>
      </c>
      <c r="M49" s="26">
        <v>0.36</v>
      </c>
      <c r="O49" s="23">
        <v>0.04</v>
      </c>
      <c r="P49" s="21">
        <v>4</v>
      </c>
      <c r="Q49" s="25"/>
    </row>
    <row r="50" spans="6:17" x14ac:dyDescent="0.15">
      <c r="F50" s="23">
        <v>4.2000000000000003E-2</v>
      </c>
      <c r="G50" s="19">
        <v>4.2</v>
      </c>
      <c r="L50" s="24">
        <v>3.7000000000000002E-3</v>
      </c>
      <c r="M50" s="26">
        <v>0.37</v>
      </c>
      <c r="O50" s="23">
        <v>4.4999999999999998E-2</v>
      </c>
      <c r="P50" s="21">
        <v>4.5</v>
      </c>
      <c r="Q50" s="25"/>
    </row>
    <row r="51" spans="6:17" x14ac:dyDescent="0.15">
      <c r="F51" s="23">
        <v>4.2999999999999997E-2</v>
      </c>
      <c r="G51" s="19">
        <v>4.3</v>
      </c>
      <c r="K51" s="25"/>
      <c r="L51" s="24">
        <v>3.8E-3</v>
      </c>
      <c r="M51" s="22">
        <v>0.38</v>
      </c>
      <c r="O51" s="23" t="s">
        <v>314</v>
      </c>
      <c r="P51" s="21">
        <v>5</v>
      </c>
      <c r="Q51" s="25"/>
    </row>
    <row r="52" spans="6:17" x14ac:dyDescent="0.15">
      <c r="F52" s="23">
        <v>4.3999999999999997E-2</v>
      </c>
      <c r="G52" s="19">
        <v>4.4000000000000004</v>
      </c>
      <c r="K52" s="25"/>
      <c r="L52" s="24">
        <v>3.8999999999999998E-3</v>
      </c>
      <c r="M52" s="22">
        <v>0.39</v>
      </c>
      <c r="O52" s="23">
        <v>5.5E-2</v>
      </c>
      <c r="P52" s="21">
        <v>5.5</v>
      </c>
      <c r="Q52" s="25"/>
    </row>
    <row r="53" spans="6:17" x14ac:dyDescent="0.15">
      <c r="F53" s="23">
        <v>4.4999999999999998E-2</v>
      </c>
      <c r="G53" s="19">
        <v>4.5</v>
      </c>
      <c r="K53" s="25"/>
      <c r="L53" s="50">
        <v>4.0000000000000001E-3</v>
      </c>
      <c r="M53" s="41">
        <v>0.4</v>
      </c>
      <c r="O53" s="23">
        <v>0.06</v>
      </c>
      <c r="P53" s="21">
        <v>6</v>
      </c>
      <c r="Q53" s="25"/>
    </row>
    <row r="54" spans="6:17" x14ac:dyDescent="0.15">
      <c r="F54" s="23">
        <v>4.5999999999999999E-2</v>
      </c>
      <c r="G54" s="19">
        <v>4.5999999999999996</v>
      </c>
      <c r="K54" s="25"/>
      <c r="O54" s="23">
        <v>6.5000000000000002E-2</v>
      </c>
      <c r="P54" s="21">
        <v>6.5</v>
      </c>
    </row>
    <row r="55" spans="6:17" x14ac:dyDescent="0.15">
      <c r="F55" s="23">
        <v>4.7E-2</v>
      </c>
      <c r="G55" s="19">
        <v>4.7</v>
      </c>
      <c r="K55" s="25"/>
      <c r="O55" s="23">
        <v>7.0000000000000007E-2</v>
      </c>
      <c r="P55" s="21">
        <v>7</v>
      </c>
    </row>
    <row r="56" spans="6:17" x14ac:dyDescent="0.15">
      <c r="F56" s="23">
        <v>4.8000000000000001E-2</v>
      </c>
      <c r="G56" s="19">
        <v>4.8</v>
      </c>
      <c r="K56" s="25"/>
      <c r="O56" s="23">
        <v>7.4999999999999997E-2</v>
      </c>
      <c r="P56" s="21">
        <v>7.5</v>
      </c>
    </row>
    <row r="57" spans="6:17" x14ac:dyDescent="0.15">
      <c r="F57" s="23">
        <v>4.9000000000000002E-2</v>
      </c>
      <c r="G57" s="19">
        <v>4.9000000000000004</v>
      </c>
      <c r="K57" s="25"/>
      <c r="O57" s="23">
        <v>0.08</v>
      </c>
      <c r="P57" s="21">
        <v>8</v>
      </c>
    </row>
    <row r="58" spans="6:17" x14ac:dyDescent="0.15">
      <c r="F58" s="51">
        <v>0.05</v>
      </c>
      <c r="G58" s="19">
        <v>5</v>
      </c>
      <c r="K58" s="25"/>
      <c r="O58" s="33">
        <v>8.5000000000000006E-2</v>
      </c>
      <c r="P58" s="21">
        <v>8.5</v>
      </c>
    </row>
    <row r="59" spans="6:17" x14ac:dyDescent="0.15">
      <c r="G59" s="34"/>
      <c r="K59" s="25"/>
      <c r="O59" s="33">
        <v>0.09</v>
      </c>
      <c r="P59" s="21">
        <v>9</v>
      </c>
    </row>
    <row r="60" spans="6:17" ht="12.75" x14ac:dyDescent="0.15">
      <c r="F60" s="142"/>
      <c r="K60" s="25"/>
      <c r="O60" s="23">
        <v>9.5000000000000001E-2</v>
      </c>
      <c r="P60" s="21">
        <v>9.5</v>
      </c>
    </row>
    <row r="61" spans="6:17" ht="12.75" x14ac:dyDescent="0.15">
      <c r="F61" s="142"/>
      <c r="K61" s="25"/>
      <c r="O61" s="23">
        <v>0.1</v>
      </c>
      <c r="P61" s="21">
        <v>10</v>
      </c>
    </row>
    <row r="62" spans="6:17" x14ac:dyDescent="0.15">
      <c r="K62" s="25"/>
      <c r="O62" s="48" t="s">
        <v>109</v>
      </c>
      <c r="P62" s="12">
        <v>100</v>
      </c>
    </row>
    <row r="63" spans="6:17" x14ac:dyDescent="0.15">
      <c r="K63" s="25"/>
      <c r="O63" s="34"/>
      <c r="P63" s="34"/>
    </row>
    <row r="65" spans="1:5" ht="11.25" customHeight="1" x14ac:dyDescent="0.15">
      <c r="C65" s="142"/>
      <c r="D65" s="142"/>
      <c r="E65" s="142"/>
    </row>
    <row r="66" spans="1:5" ht="11.25" customHeight="1" x14ac:dyDescent="0.15">
      <c r="B66" s="142"/>
      <c r="C66" s="142"/>
      <c r="D66" s="142"/>
      <c r="E66" s="142"/>
    </row>
    <row r="69" spans="1:5" ht="11.25" customHeight="1" x14ac:dyDescent="0.15">
      <c r="A69" s="49" t="s">
        <v>292</v>
      </c>
      <c r="B69" s="143" t="str">
        <f>"Projected values based on user inputs, "&amp;C11&amp;", 2017 to 2039"</f>
        <v>Projected values based on user inputs, Wales, 2017 to 2039</v>
      </c>
    </row>
    <row r="70" spans="1:5" ht="11.25" customHeight="1" x14ac:dyDescent="0.15">
      <c r="A70" s="49" t="s">
        <v>110</v>
      </c>
      <c r="B70" s="3" t="str">
        <f>"Estimated smoking prevalence projection, all persons aged 16+, "&amp;C11&amp;", "&amp;'NSW Calculations'!A19&amp;" to 2039"</f>
        <v>Estimated smoking prevalence projection, all persons aged 16+, Wales, 2016/17 to 2039</v>
      </c>
    </row>
  </sheetData>
  <mergeCells count="7">
    <mergeCell ref="U8:V8"/>
    <mergeCell ref="A8:C8"/>
    <mergeCell ref="F8:G8"/>
    <mergeCell ref="I8:J8"/>
    <mergeCell ref="L8:M8"/>
    <mergeCell ref="O8:P8"/>
    <mergeCell ref="R8:S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5"/>
  <sheetViews>
    <sheetView workbookViewId="0">
      <selection activeCell="O47" sqref="O47"/>
    </sheetView>
  </sheetViews>
  <sheetFormatPr defaultRowHeight="11.25" x14ac:dyDescent="0.15"/>
  <cols>
    <col min="1" max="1" width="9.140625" style="3"/>
    <col min="2" max="2" width="14.7109375" style="3" bestFit="1" customWidth="1"/>
    <col min="3" max="3" width="9.140625" style="3"/>
    <col min="4" max="4" width="18.140625" style="3" customWidth="1"/>
    <col min="5" max="6" width="13" style="3" customWidth="1"/>
    <col min="7" max="7" width="13.28515625" style="3" customWidth="1"/>
    <col min="8" max="8" width="16.5703125" style="3" customWidth="1"/>
    <col min="9" max="11" width="11.85546875" style="3" bestFit="1" customWidth="1"/>
    <col min="12" max="12" width="15.7109375" style="3" bestFit="1" customWidth="1"/>
    <col min="13" max="13" width="7.42578125" style="3" customWidth="1"/>
    <col min="14" max="14" width="8.85546875" style="3" bestFit="1" customWidth="1"/>
    <col min="15" max="15" width="10" style="3" customWidth="1"/>
    <col min="16" max="16" width="7.7109375" style="3" customWidth="1"/>
    <col min="17" max="17" width="14.28515625" style="3" customWidth="1"/>
    <col min="18" max="18" width="9.140625" style="3"/>
    <col min="19" max="19" width="12" style="3" customWidth="1"/>
    <col min="20" max="20" width="10" style="3" bestFit="1" customWidth="1"/>
    <col min="21" max="21" width="14.85546875" style="3" customWidth="1"/>
    <col min="22" max="22" width="11.7109375" style="3" bestFit="1" customWidth="1"/>
    <col min="23" max="24" width="11.7109375" style="139" customWidth="1"/>
    <col min="25" max="16384" width="9.140625" style="3"/>
  </cols>
  <sheetData>
    <row r="1" spans="1:25" x14ac:dyDescent="0.15">
      <c r="D1" s="1" t="s">
        <v>111</v>
      </c>
      <c r="E1" s="1"/>
      <c r="F1" s="1"/>
      <c r="G1" s="1"/>
      <c r="H1" s="1"/>
      <c r="I1" s="1"/>
      <c r="J1" s="1"/>
      <c r="K1" s="1"/>
      <c r="L1" s="1"/>
      <c r="M1" s="1"/>
      <c r="N1" s="1"/>
      <c r="O1" s="1"/>
      <c r="P1" s="1"/>
      <c r="Q1" s="1"/>
    </row>
    <row r="3" spans="1:25" x14ac:dyDescent="0.15">
      <c r="D3" s="49" t="s">
        <v>112</v>
      </c>
      <c r="H3" s="3" t="str">
        <f>'NSW Controls'!B11</f>
        <v>Wales</v>
      </c>
      <c r="S3" s="49" t="s">
        <v>269</v>
      </c>
    </row>
    <row r="5" spans="1:25" x14ac:dyDescent="0.15">
      <c r="D5" s="2"/>
      <c r="E5" s="205" t="s">
        <v>113</v>
      </c>
      <c r="F5" s="206"/>
      <c r="G5" s="205" t="s">
        <v>114</v>
      </c>
      <c r="H5" s="206"/>
      <c r="I5" s="205" t="s">
        <v>115</v>
      </c>
      <c r="J5" s="207"/>
      <c r="K5" s="207"/>
      <c r="L5" s="206"/>
      <c r="M5" s="205" t="s">
        <v>116</v>
      </c>
      <c r="N5" s="207"/>
      <c r="O5" s="207"/>
      <c r="P5" s="206"/>
      <c r="Q5" s="52" t="s">
        <v>117</v>
      </c>
      <c r="S5" s="3" t="s">
        <v>270</v>
      </c>
      <c r="T5" s="3" t="s">
        <v>271</v>
      </c>
      <c r="U5" s="3" t="s">
        <v>272</v>
      </c>
      <c r="V5" s="139" t="s">
        <v>288</v>
      </c>
      <c r="X5" s="139" t="s">
        <v>289</v>
      </c>
    </row>
    <row r="6" spans="1:25" x14ac:dyDescent="0.15">
      <c r="C6" s="202" t="s">
        <v>118</v>
      </c>
      <c r="D6" s="202"/>
      <c r="E6" s="53">
        <v>15</v>
      </c>
      <c r="F6" s="53" t="s">
        <v>119</v>
      </c>
      <c r="G6" s="202" t="s">
        <v>119</v>
      </c>
      <c r="H6" s="202"/>
      <c r="I6" s="203" t="s">
        <v>120</v>
      </c>
      <c r="J6" s="203"/>
      <c r="K6" s="203" t="s">
        <v>121</v>
      </c>
      <c r="L6" s="203"/>
      <c r="M6" s="204" t="s">
        <v>122</v>
      </c>
      <c r="N6" s="204"/>
      <c r="O6" s="204" t="s">
        <v>123</v>
      </c>
      <c r="P6" s="204"/>
      <c r="Q6" s="2"/>
    </row>
    <row r="7" spans="1:25" x14ac:dyDescent="0.15">
      <c r="A7" s="3" t="s">
        <v>124</v>
      </c>
      <c r="C7" s="3" t="s">
        <v>35</v>
      </c>
      <c r="D7" s="53" t="s">
        <v>125</v>
      </c>
      <c r="E7" s="53" t="s">
        <v>126</v>
      </c>
      <c r="F7" s="53" t="s">
        <v>126</v>
      </c>
      <c r="G7" s="53" t="s">
        <v>127</v>
      </c>
      <c r="H7" s="53" t="s">
        <v>126</v>
      </c>
      <c r="I7" s="53" t="s">
        <v>127</v>
      </c>
      <c r="J7" s="53" t="s">
        <v>126</v>
      </c>
      <c r="K7" s="53" t="s">
        <v>127</v>
      </c>
      <c r="L7" s="53" t="s">
        <v>126</v>
      </c>
      <c r="M7" s="53" t="s">
        <v>127</v>
      </c>
      <c r="N7" s="53" t="s">
        <v>126</v>
      </c>
      <c r="O7" s="53" t="s">
        <v>127</v>
      </c>
      <c r="P7" s="53" t="s">
        <v>126</v>
      </c>
      <c r="Q7" s="53" t="s">
        <v>126</v>
      </c>
      <c r="U7" s="54"/>
    </row>
    <row r="8" spans="1:25" x14ac:dyDescent="0.15">
      <c r="A8" s="3" t="str">
        <f>IF($H$3="Wales",C8,B8)</f>
        <v>2004/05</v>
      </c>
      <c r="B8" s="3" t="s">
        <v>273</v>
      </c>
      <c r="C8" s="55" t="s">
        <v>128</v>
      </c>
      <c r="D8" s="53" t="s">
        <v>129</v>
      </c>
      <c r="E8" s="53"/>
      <c r="F8" s="56">
        <f>'NSW Projections data for calcs'!C4</f>
        <v>2401193</v>
      </c>
      <c r="G8" s="57">
        <f>VLOOKUP($H$3,'WHS Health Board Smoking data'!$A$30:$N$37,4,FALSE)</f>
        <v>26.997579999999999</v>
      </c>
      <c r="H8" s="56">
        <f>F8*(G8/100)</f>
        <v>648264.00112939999</v>
      </c>
      <c r="I8" s="53"/>
      <c r="J8" s="53"/>
      <c r="K8" s="53"/>
      <c r="L8" s="53"/>
      <c r="M8" s="53"/>
      <c r="N8" s="53"/>
      <c r="O8" s="53"/>
      <c r="P8" s="53"/>
      <c r="Q8" s="58">
        <f>H8-J8-L8+N8+P8</f>
        <v>648264.00112939999</v>
      </c>
      <c r="S8" s="25">
        <f>G8</f>
        <v>26.997579999999999</v>
      </c>
      <c r="U8" s="54"/>
      <c r="X8" s="141" t="str">
        <f>IF(Y8&lt;=16,A8,"")</f>
        <v/>
      </c>
      <c r="Y8" s="57">
        <f>G8</f>
        <v>26.997579999999999</v>
      </c>
    </row>
    <row r="9" spans="1:25" x14ac:dyDescent="0.15">
      <c r="A9" s="3" t="str">
        <f t="shared" ref="A9:A18" si="0">IF($H$3="Wales",C9,B9)</f>
        <v>2005/06</v>
      </c>
      <c r="B9" s="3" t="s">
        <v>274</v>
      </c>
      <c r="C9" s="3" t="s">
        <v>130</v>
      </c>
      <c r="D9" s="53" t="s">
        <v>131</v>
      </c>
      <c r="E9" s="53"/>
      <c r="F9" s="56">
        <f>'NSW Projections data for calcs'!C5</f>
        <v>2421036</v>
      </c>
      <c r="G9" s="57">
        <f>VLOOKUP($H$3,'WHS Health Board Smoking data'!$A$30:$N$37,5,FALSE)</f>
        <v>26.5778</v>
      </c>
      <c r="H9" s="56">
        <f t="shared" ref="H9:H16" si="1">F9*(G9/100)</f>
        <v>643458.10600800009</v>
      </c>
      <c r="I9" s="53"/>
      <c r="J9" s="53"/>
      <c r="K9" s="53"/>
      <c r="L9" s="53"/>
      <c r="M9" s="53"/>
      <c r="N9" s="53"/>
      <c r="O9" s="53"/>
      <c r="P9" s="53"/>
      <c r="Q9" s="58">
        <f t="shared" ref="Q9:Q16" si="2">H9-J9-L9+N9+P9</f>
        <v>643458.10600800009</v>
      </c>
      <c r="S9" s="25">
        <f t="shared" ref="S9:S18" si="3">G9</f>
        <v>26.5778</v>
      </c>
      <c r="U9" s="54"/>
      <c r="X9" s="141" t="str">
        <f t="shared" ref="X9:X42" si="4">IF(Y9&lt;=16,A9,"")</f>
        <v/>
      </c>
      <c r="Y9" s="57">
        <f t="shared" ref="Y9:Y42" si="5">G9</f>
        <v>26.5778</v>
      </c>
    </row>
    <row r="10" spans="1:25" x14ac:dyDescent="0.15">
      <c r="A10" s="3">
        <f t="shared" si="0"/>
        <v>2007</v>
      </c>
      <c r="B10" s="138" t="s">
        <v>283</v>
      </c>
      <c r="C10" s="3">
        <v>2007</v>
      </c>
      <c r="D10" s="53" t="s">
        <v>132</v>
      </c>
      <c r="E10" s="53"/>
      <c r="F10" s="56">
        <f>'NSW Projections data for calcs'!C6</f>
        <v>2445244</v>
      </c>
      <c r="G10" s="57">
        <f>VLOOKUP($H$3,'WHS Health Board Smoking data'!$A$30:$N$37,6,FALSE)</f>
        <v>24.715060000000001</v>
      </c>
      <c r="H10" s="56">
        <f t="shared" si="1"/>
        <v>604343.52174640005</v>
      </c>
      <c r="I10" s="53"/>
      <c r="J10" s="53"/>
      <c r="K10" s="53"/>
      <c r="L10" s="53"/>
      <c r="M10" s="53"/>
      <c r="N10" s="53"/>
      <c r="O10" s="53"/>
      <c r="P10" s="53"/>
      <c r="Q10" s="58">
        <f t="shared" si="2"/>
        <v>604343.52174640005</v>
      </c>
      <c r="S10" s="25">
        <f t="shared" si="3"/>
        <v>24.715060000000001</v>
      </c>
      <c r="U10" s="54"/>
      <c r="X10" s="141" t="str">
        <f t="shared" si="4"/>
        <v/>
      </c>
      <c r="Y10" s="57">
        <f t="shared" si="5"/>
        <v>24.715060000000001</v>
      </c>
    </row>
    <row r="11" spans="1:25" x14ac:dyDescent="0.15">
      <c r="A11" s="3">
        <f t="shared" si="0"/>
        <v>2008</v>
      </c>
      <c r="B11" s="3" t="s">
        <v>275</v>
      </c>
      <c r="C11" s="3">
        <v>2008</v>
      </c>
      <c r="D11" s="53" t="s">
        <v>133</v>
      </c>
      <c r="E11" s="53"/>
      <c r="F11" s="56">
        <f>'NSW Projections data for calcs'!C7</f>
        <v>2466956</v>
      </c>
      <c r="G11" s="57">
        <f>VLOOKUP($H$3,'WHS Health Board Smoking data'!$A$30:$N$37,7,FALSE)</f>
        <v>23.759169999999997</v>
      </c>
      <c r="H11" s="56">
        <f t="shared" si="1"/>
        <v>586128.26986519992</v>
      </c>
      <c r="I11" s="53"/>
      <c r="J11" s="53"/>
      <c r="K11" s="53"/>
      <c r="L11" s="53"/>
      <c r="M11" s="53"/>
      <c r="N11" s="53"/>
      <c r="O11" s="53"/>
      <c r="P11" s="53"/>
      <c r="Q11" s="58">
        <f t="shared" si="2"/>
        <v>586128.26986519992</v>
      </c>
      <c r="S11" s="25">
        <f t="shared" si="3"/>
        <v>23.759169999999997</v>
      </c>
      <c r="U11" s="54"/>
      <c r="X11" s="141" t="str">
        <f t="shared" si="4"/>
        <v/>
      </c>
      <c r="Y11" s="57">
        <f t="shared" si="5"/>
        <v>23.759169999999997</v>
      </c>
    </row>
    <row r="12" spans="1:25" x14ac:dyDescent="0.15">
      <c r="A12" s="3">
        <f t="shared" si="0"/>
        <v>2009</v>
      </c>
      <c r="B12" s="3" t="s">
        <v>276</v>
      </c>
      <c r="C12" s="3">
        <v>2009</v>
      </c>
      <c r="D12" s="53" t="s">
        <v>134</v>
      </c>
      <c r="E12" s="53"/>
      <c r="F12" s="56">
        <f>'NSW Projections data for calcs'!C8</f>
        <v>2481907</v>
      </c>
      <c r="G12" s="57">
        <f>VLOOKUP($H$3,'WHS Health Board Smoking data'!$A$30:$N$37,8,FALSE)</f>
        <v>23.720800000000001</v>
      </c>
      <c r="H12" s="56">
        <f t="shared" si="1"/>
        <v>588728.19565600005</v>
      </c>
      <c r="I12" s="53"/>
      <c r="J12" s="53"/>
      <c r="K12" s="53"/>
      <c r="L12" s="53"/>
      <c r="M12" s="53"/>
      <c r="N12" s="53"/>
      <c r="O12" s="53"/>
      <c r="P12" s="53"/>
      <c r="Q12" s="58">
        <f>H12-J12-L12+N12+P12</f>
        <v>588728.19565600005</v>
      </c>
      <c r="S12" s="25">
        <f t="shared" si="3"/>
        <v>23.720800000000001</v>
      </c>
      <c r="U12" s="54"/>
      <c r="X12" s="141" t="str">
        <f t="shared" si="4"/>
        <v/>
      </c>
      <c r="Y12" s="57">
        <f t="shared" si="5"/>
        <v>23.720800000000001</v>
      </c>
    </row>
    <row r="13" spans="1:25" x14ac:dyDescent="0.15">
      <c r="A13" s="3">
        <f t="shared" si="0"/>
        <v>2010</v>
      </c>
      <c r="B13" s="3" t="s">
        <v>277</v>
      </c>
      <c r="C13" s="3">
        <v>2010</v>
      </c>
      <c r="D13" s="53" t="s">
        <v>135</v>
      </c>
      <c r="E13" s="53"/>
      <c r="F13" s="56">
        <f>'NSW Projections data for calcs'!C9</f>
        <v>2494980</v>
      </c>
      <c r="G13" s="57">
        <f>VLOOKUP($H$3,'WHS Health Board Smoking data'!$A$30:$N$37,9,FALSE)</f>
        <v>23.484580000000001</v>
      </c>
      <c r="H13" s="56">
        <f t="shared" si="1"/>
        <v>585935.57408400008</v>
      </c>
      <c r="I13" s="53"/>
      <c r="J13" s="53"/>
      <c r="K13" s="53"/>
      <c r="L13" s="53"/>
      <c r="M13" s="53"/>
      <c r="N13" s="53"/>
      <c r="O13" s="53"/>
      <c r="P13" s="53"/>
      <c r="Q13" s="58">
        <f t="shared" si="2"/>
        <v>585935.57408400008</v>
      </c>
      <c r="S13" s="25">
        <f t="shared" si="3"/>
        <v>23.484580000000001</v>
      </c>
      <c r="U13" s="54"/>
      <c r="X13" s="141" t="str">
        <f t="shared" si="4"/>
        <v/>
      </c>
      <c r="Y13" s="57">
        <f t="shared" si="5"/>
        <v>23.484580000000001</v>
      </c>
    </row>
    <row r="14" spans="1:25" x14ac:dyDescent="0.15">
      <c r="A14" s="3">
        <f t="shared" si="0"/>
        <v>2011</v>
      </c>
      <c r="B14" s="3" t="s">
        <v>278</v>
      </c>
      <c r="C14" s="3">
        <v>2011</v>
      </c>
      <c r="D14" s="53" t="s">
        <v>136</v>
      </c>
      <c r="E14" s="53"/>
      <c r="F14" s="56">
        <f>'NSW Projections data for calcs'!C10</f>
        <v>2507917</v>
      </c>
      <c r="G14" s="57">
        <f>VLOOKUP($H$3,'WHS Health Board Smoking data'!$A$30:$N$37,10,FALSE)</f>
        <v>22.849610000000002</v>
      </c>
      <c r="H14" s="56">
        <f>F14*(G14/100)</f>
        <v>573049.2536237</v>
      </c>
      <c r="I14" s="53"/>
      <c r="J14" s="53"/>
      <c r="K14" s="53"/>
      <c r="L14" s="53"/>
      <c r="M14" s="53"/>
      <c r="N14" s="53"/>
      <c r="O14" s="53"/>
      <c r="P14" s="53"/>
      <c r="Q14" s="58">
        <f t="shared" si="2"/>
        <v>573049.2536237</v>
      </c>
      <c r="S14" s="25">
        <f t="shared" si="3"/>
        <v>22.849610000000002</v>
      </c>
      <c r="U14" s="54"/>
      <c r="X14" s="141" t="str">
        <f t="shared" si="4"/>
        <v/>
      </c>
      <c r="Y14" s="57">
        <f t="shared" si="5"/>
        <v>22.849610000000002</v>
      </c>
    </row>
    <row r="15" spans="1:25" x14ac:dyDescent="0.15">
      <c r="A15" s="3">
        <f t="shared" si="0"/>
        <v>2012</v>
      </c>
      <c r="B15" s="3" t="s">
        <v>279</v>
      </c>
      <c r="C15" s="3">
        <v>2012</v>
      </c>
      <c r="D15" s="53" t="s">
        <v>137</v>
      </c>
      <c r="E15" s="53"/>
      <c r="F15" s="56">
        <f>'NSW Projections data for calcs'!C11</f>
        <v>2517515</v>
      </c>
      <c r="G15" s="57">
        <f>VLOOKUP($H$3,'WHS Health Board Smoking data'!$A$30:$N$37,11,FALSE)</f>
        <v>22.618009999999998</v>
      </c>
      <c r="H15" s="56">
        <f t="shared" si="1"/>
        <v>569411.79445149994</v>
      </c>
      <c r="I15" s="53"/>
      <c r="J15" s="53"/>
      <c r="K15" s="53"/>
      <c r="L15" s="53"/>
      <c r="M15" s="53"/>
      <c r="N15" s="53"/>
      <c r="O15" s="53"/>
      <c r="P15" s="53"/>
      <c r="Q15" s="58">
        <f t="shared" si="2"/>
        <v>569411.79445149994</v>
      </c>
      <c r="S15" s="25">
        <f t="shared" si="3"/>
        <v>22.618009999999998</v>
      </c>
      <c r="U15" s="54"/>
      <c r="X15" s="141" t="str">
        <f t="shared" si="4"/>
        <v/>
      </c>
      <c r="Y15" s="57">
        <f t="shared" si="5"/>
        <v>22.618009999999998</v>
      </c>
    </row>
    <row r="16" spans="1:25" x14ac:dyDescent="0.15">
      <c r="A16" s="3">
        <f t="shared" si="0"/>
        <v>2013</v>
      </c>
      <c r="B16" s="3" t="s">
        <v>280</v>
      </c>
      <c r="C16" s="3">
        <v>2013</v>
      </c>
      <c r="D16" s="53" t="s">
        <v>138</v>
      </c>
      <c r="E16" s="53"/>
      <c r="F16" s="56">
        <f>'NSW Projections data for calcs'!C12</f>
        <v>2527247</v>
      </c>
      <c r="G16" s="57">
        <f>VLOOKUP($H$3,'WHS Health Board Smoking data'!$A$30:$N$37,12,FALSE)</f>
        <v>21.922779999999999</v>
      </c>
      <c r="H16" s="56">
        <f t="shared" si="1"/>
        <v>554042.79986659996</v>
      </c>
      <c r="I16" s="53"/>
      <c r="J16" s="53"/>
      <c r="K16" s="53"/>
      <c r="L16" s="53"/>
      <c r="M16" s="53"/>
      <c r="N16" s="53"/>
      <c r="O16" s="53"/>
      <c r="P16" s="53"/>
      <c r="Q16" s="58">
        <f t="shared" si="2"/>
        <v>554042.79986659996</v>
      </c>
      <c r="S16" s="25">
        <f t="shared" si="3"/>
        <v>21.922779999999999</v>
      </c>
      <c r="U16" s="54"/>
      <c r="X16" s="141" t="str">
        <f t="shared" si="4"/>
        <v/>
      </c>
      <c r="Y16" s="57">
        <f t="shared" si="5"/>
        <v>21.922779999999999</v>
      </c>
    </row>
    <row r="17" spans="1:26" x14ac:dyDescent="0.15">
      <c r="A17" s="3">
        <f t="shared" si="0"/>
        <v>2014</v>
      </c>
      <c r="B17" s="3" t="s">
        <v>281</v>
      </c>
      <c r="C17" s="3">
        <v>2014</v>
      </c>
      <c r="D17" s="53" t="s">
        <v>139</v>
      </c>
      <c r="E17" s="53"/>
      <c r="F17" s="56">
        <f>'NSW Projections data for calcs'!C13</f>
        <v>2537195</v>
      </c>
      <c r="G17" s="57">
        <f>VLOOKUP($H$3,'WHS Health Board Smoking data'!$A$30:$N$37,13,FALSE)</f>
        <v>20.814350000000001</v>
      </c>
      <c r="H17" s="56">
        <f>F17*(G17/100)</f>
        <v>528100.64748250006</v>
      </c>
      <c r="I17" s="53"/>
      <c r="J17" s="53"/>
      <c r="K17" s="53"/>
      <c r="L17" s="53"/>
      <c r="M17" s="53"/>
      <c r="N17" s="53"/>
      <c r="O17" s="53"/>
      <c r="P17" s="53"/>
      <c r="Q17" s="58">
        <f>H17-J17-L17+N17+P17</f>
        <v>528100.64748250006</v>
      </c>
      <c r="S17" s="25">
        <f t="shared" si="3"/>
        <v>20.814350000000001</v>
      </c>
      <c r="U17" s="54"/>
      <c r="X17" s="141" t="str">
        <f t="shared" si="4"/>
        <v/>
      </c>
      <c r="Y17" s="57">
        <f t="shared" si="5"/>
        <v>20.814350000000001</v>
      </c>
    </row>
    <row r="18" spans="1:26" x14ac:dyDescent="0.15">
      <c r="A18" s="3">
        <f t="shared" si="0"/>
        <v>2015</v>
      </c>
      <c r="B18" s="3" t="s">
        <v>282</v>
      </c>
      <c r="C18" s="3">
        <v>2015</v>
      </c>
      <c r="D18" s="53" t="s">
        <v>140</v>
      </c>
      <c r="E18" s="126"/>
      <c r="F18" s="56">
        <f>'NSW Projections data for calcs'!C14</f>
        <v>2543797</v>
      </c>
      <c r="G18" s="57">
        <f>VLOOKUP($H$3,'WHS Health Board Smoking data'!$A$30:$N$37,14,FALSE)</f>
        <v>19.90136</v>
      </c>
      <c r="H18" s="66">
        <f>F18*(G18/100)</f>
        <v>506250.19863920001</v>
      </c>
      <c r="I18" s="60"/>
      <c r="J18" s="56"/>
      <c r="K18" s="60"/>
      <c r="L18" s="56"/>
      <c r="M18" s="60"/>
      <c r="N18" s="56"/>
      <c r="O18" s="59"/>
      <c r="P18" s="56"/>
      <c r="Q18" s="58">
        <f>H18-J18-L18+N18+P18</f>
        <v>506250.19863920001</v>
      </c>
      <c r="S18" s="25">
        <f t="shared" si="3"/>
        <v>19.90136</v>
      </c>
      <c r="U18" s="20"/>
      <c r="X18" s="141" t="str">
        <f t="shared" si="4"/>
        <v/>
      </c>
      <c r="Y18" s="57">
        <f t="shared" si="5"/>
        <v>19.90136</v>
      </c>
    </row>
    <row r="19" spans="1:26" x14ac:dyDescent="0.15">
      <c r="A19" s="1" t="str">
        <f t="shared" ref="A19:A42" si="6">D19</f>
        <v>2016/17</v>
      </c>
      <c r="B19" s="1" t="s">
        <v>253</v>
      </c>
      <c r="C19" s="1"/>
      <c r="D19" s="62" t="s">
        <v>253</v>
      </c>
      <c r="E19" s="64">
        <f>'NSW Projections data for calcs'!B15</f>
        <v>33896</v>
      </c>
      <c r="F19" s="64">
        <f>'NSW Projections data for calcs'!C15</f>
        <v>2556071</v>
      </c>
      <c r="G19" s="63">
        <f>VLOOKUP($H$3,'Smoking data'!$A$4:$N$12,14,FALSE)</f>
        <v>18.635682587150036</v>
      </c>
      <c r="H19" s="64">
        <f>F19*(G19/100)</f>
        <v>476341.27826219186</v>
      </c>
      <c r="I19" s="128">
        <f>'NSW Controls'!G11</f>
        <v>2.5</v>
      </c>
      <c r="J19" s="64">
        <f>(I19/100)*H19</f>
        <v>11908.531956554798</v>
      </c>
      <c r="K19" s="128">
        <v>0.75</v>
      </c>
      <c r="L19" s="64">
        <f>(K19/100)*H19</f>
        <v>3572.5595869664389</v>
      </c>
      <c r="M19" s="128">
        <f>'NSW Controls'!M11</f>
        <v>0.2</v>
      </c>
      <c r="N19" s="64">
        <f>(M19/100)*F19</f>
        <v>5112.1419999999998</v>
      </c>
      <c r="O19" s="63">
        <f>'NSW Controls'!J11</f>
        <v>8.5</v>
      </c>
      <c r="P19" s="64">
        <f>(O19/100)*E19</f>
        <v>2881.1600000000003</v>
      </c>
      <c r="Q19" s="65">
        <f>H19-J19-L19+N19+P19</f>
        <v>468853.48871867062</v>
      </c>
      <c r="R19" s="25"/>
      <c r="S19" s="25"/>
      <c r="T19" s="25">
        <f>G19</f>
        <v>18.635682587150036</v>
      </c>
      <c r="U19" s="20"/>
      <c r="X19" s="141" t="str">
        <f t="shared" si="4"/>
        <v/>
      </c>
      <c r="Y19" s="57">
        <f t="shared" si="5"/>
        <v>18.635682587150036</v>
      </c>
      <c r="Z19" s="25"/>
    </row>
    <row r="20" spans="1:26" x14ac:dyDescent="0.15">
      <c r="A20" s="3">
        <f t="shared" si="6"/>
        <v>2017</v>
      </c>
      <c r="B20" s="3">
        <v>2017</v>
      </c>
      <c r="D20" s="61">
        <v>2017</v>
      </c>
      <c r="E20" s="56">
        <f>'NSW Projections data for calcs'!B16</f>
        <v>32435</v>
      </c>
      <c r="F20" s="56">
        <f>'NSW Projections data for calcs'!C16</f>
        <v>2563180</v>
      </c>
      <c r="G20" s="59">
        <f>Q19/F20*100</f>
        <v>18.291867473945281</v>
      </c>
      <c r="H20" s="56">
        <f>Q19</f>
        <v>468853.48871867062</v>
      </c>
      <c r="I20" s="60">
        <f>IF(AND(I19+'NSW Controls'!$P$11&lt;='NSW Controls'!$P$36,I19+'NSW Controls'!$P$11&gt;='NSW Controls'!$P$37),I19+'NSW Controls'!$P$11,IF(I19+'NSW Controls'!$P$11&gt;'NSW Controls'!$P$36,'NSW Controls'!$P$36,'NSW Controls'!$P$37))</f>
        <v>2.5</v>
      </c>
      <c r="J20" s="56">
        <f>(I20/100)*H20</f>
        <v>11721.337217966766</v>
      </c>
      <c r="K20" s="60">
        <f t="shared" ref="K20:K42" si="7">0.75</f>
        <v>0.75</v>
      </c>
      <c r="L20" s="56">
        <f t="shared" ref="L20:L42" si="8">(K20/100)*H20</f>
        <v>3516.4011653900293</v>
      </c>
      <c r="M20" s="60">
        <f>IF(AND(M19+'NSW Controls'!$S$11&lt;='NSW Controls'!$S$36,M19+'NSW Controls'!$S$11&gt;='NSW Controls'!$S$37),M19+'NSW Controls'!$S$11,IF(M19+'NSW Controls'!$S$11&gt;'NSW Controls'!$S$36,'NSW Controls'!$S$36,'NSW Controls'!$S$37))</f>
        <v>0.2</v>
      </c>
      <c r="N20" s="56">
        <f t="shared" ref="N20:N42" si="9">(M20/100)*F20</f>
        <v>5126.3599999999997</v>
      </c>
      <c r="O20" s="59">
        <f>IF(AND(O19+'NSW Controls'!$V$11&lt;='NSW Controls'!$V$36,O19+'NSW Controls'!$V$11&gt;='NSW Controls'!$V$37),O19+'NSW Controls'!$V$11,IF(O19+'NSW Controls'!$V$11&gt;'NSW Controls'!$V$36,'NSW Controls'!$V$36,'NSW Controls'!$V$37))</f>
        <v>8.5</v>
      </c>
      <c r="P20" s="56">
        <f t="shared" ref="P20:P42" si="10">(O20/100)*E20</f>
        <v>2756.9750000000004</v>
      </c>
      <c r="Q20" s="58">
        <f t="shared" ref="Q20:Q42" si="11">H20-J20-L20+N20+P20</f>
        <v>461499.08533531375</v>
      </c>
      <c r="R20" s="25"/>
      <c r="S20" s="25"/>
      <c r="T20" s="25"/>
      <c r="U20" s="20">
        <f t="shared" ref="U20:U25" si="12">G20</f>
        <v>18.291867473945281</v>
      </c>
      <c r="X20" s="141" t="str">
        <f t="shared" si="4"/>
        <v/>
      </c>
      <c r="Y20" s="57">
        <f t="shared" si="5"/>
        <v>18.291867473945281</v>
      </c>
      <c r="Z20" s="25"/>
    </row>
    <row r="21" spans="1:26" x14ac:dyDescent="0.15">
      <c r="A21" s="3">
        <f t="shared" si="6"/>
        <v>2018</v>
      </c>
      <c r="B21" s="3">
        <v>2018</v>
      </c>
      <c r="D21" s="61">
        <v>2018</v>
      </c>
      <c r="E21" s="56">
        <f>'NSW Projections data for calcs'!B17</f>
        <v>32525</v>
      </c>
      <c r="F21" s="56">
        <f>'NSW Projections data for calcs'!C17</f>
        <v>2569264</v>
      </c>
      <c r="G21" s="59">
        <f>Q20/F21*100</f>
        <v>17.962306922734051</v>
      </c>
      <c r="H21" s="56">
        <f t="shared" ref="H21:H41" si="13">Q20</f>
        <v>461499.08533531375</v>
      </c>
      <c r="I21" s="60">
        <f>IF(AND(I20+'NSW Controls'!$P$11&lt;='NSW Controls'!$P$36,I20+'NSW Controls'!$P$11&gt;='NSW Controls'!$P$37),I20+'NSW Controls'!$P$11,IF(I20+'NSW Controls'!$P$11&gt;'NSW Controls'!$P$36,'NSW Controls'!$P$36,'NSW Controls'!$P$37))</f>
        <v>2.5</v>
      </c>
      <c r="J21" s="56">
        <f>(I21/100)*H21</f>
        <v>11537.477133382845</v>
      </c>
      <c r="K21" s="60">
        <f t="shared" si="7"/>
        <v>0.75</v>
      </c>
      <c r="L21" s="56">
        <f t="shared" si="8"/>
        <v>3461.243140014853</v>
      </c>
      <c r="M21" s="60">
        <f>IF(AND(M20+'NSW Controls'!$S$11&lt;='NSW Controls'!$S$36,M20+'NSW Controls'!$S$11&gt;='NSW Controls'!$S$37),M20+'NSW Controls'!$S$11,IF(M20+'NSW Controls'!$S$11&gt;'NSW Controls'!$S$36,'NSW Controls'!$S$36,'NSW Controls'!$S$37))</f>
        <v>0.2</v>
      </c>
      <c r="N21" s="56">
        <f t="shared" si="9"/>
        <v>5138.5280000000002</v>
      </c>
      <c r="O21" s="59">
        <f>IF(AND(O20+'NSW Controls'!$V$11&lt;='NSW Controls'!$V$36,O20+'NSW Controls'!$V$11&gt;='NSW Controls'!$V$37),O20+'NSW Controls'!$V$11,IF(O20+'NSW Controls'!$V$11&gt;'NSW Controls'!$V$36,'NSW Controls'!$V$36,'NSW Controls'!$V$37))</f>
        <v>8.5</v>
      </c>
      <c r="P21" s="56">
        <f t="shared" si="10"/>
        <v>2764.625</v>
      </c>
      <c r="Q21" s="58">
        <f t="shared" si="11"/>
        <v>454403.51806191599</v>
      </c>
      <c r="R21" s="25"/>
      <c r="S21" s="25"/>
      <c r="T21" s="25"/>
      <c r="U21" s="20">
        <f t="shared" si="12"/>
        <v>17.962306922734051</v>
      </c>
      <c r="X21" s="141" t="str">
        <f t="shared" si="4"/>
        <v/>
      </c>
      <c r="Y21" s="57">
        <f t="shared" si="5"/>
        <v>17.962306922734051</v>
      </c>
      <c r="Z21" s="25"/>
    </row>
    <row r="22" spans="1:26" x14ac:dyDescent="0.15">
      <c r="A22" s="3">
        <f t="shared" si="6"/>
        <v>2019</v>
      </c>
      <c r="B22" s="3">
        <v>2019</v>
      </c>
      <c r="D22" s="61">
        <v>2019</v>
      </c>
      <c r="E22" s="56">
        <f>'NSW Projections data for calcs'!B18</f>
        <v>33212</v>
      </c>
      <c r="F22" s="56">
        <f>'NSW Projections data for calcs'!C18</f>
        <v>2575200</v>
      </c>
      <c r="G22" s="59">
        <f>Q21/F22*100</f>
        <v>17.645368051487882</v>
      </c>
      <c r="H22" s="56">
        <f t="shared" si="13"/>
        <v>454403.51806191599</v>
      </c>
      <c r="I22" s="60">
        <f>IF(AND(I21+'NSW Controls'!$P$11&lt;='NSW Controls'!$P$36,I21+'NSW Controls'!$P$11&gt;='NSW Controls'!$P$37),I21+'NSW Controls'!$P$11,IF(I21+'NSW Controls'!$P$11&gt;'NSW Controls'!$P$36,'NSW Controls'!$P$36,'NSW Controls'!$P$37))</f>
        <v>2.5</v>
      </c>
      <c r="J22" s="56">
        <f t="shared" ref="J22:J42" si="14">(I22/100)*H22</f>
        <v>11360.087951547901</v>
      </c>
      <c r="K22" s="60">
        <f t="shared" si="7"/>
        <v>0.75</v>
      </c>
      <c r="L22" s="56">
        <f t="shared" si="8"/>
        <v>3408.0263854643699</v>
      </c>
      <c r="M22" s="60">
        <f>IF(AND(M21+'NSW Controls'!$S$11&lt;='NSW Controls'!$S$36,M21+'NSW Controls'!$S$11&gt;='NSW Controls'!$S$37),M21+'NSW Controls'!$S$11,IF(M21+'NSW Controls'!$S$11&gt;'NSW Controls'!$S$36,'NSW Controls'!$S$36,'NSW Controls'!$S$37))</f>
        <v>0.2</v>
      </c>
      <c r="N22" s="56">
        <f t="shared" si="9"/>
        <v>5150.4000000000005</v>
      </c>
      <c r="O22" s="59">
        <f>IF(AND(O21+'NSW Controls'!$V$11&lt;='NSW Controls'!$V$36,O21+'NSW Controls'!$V$11&gt;='NSW Controls'!$V$37),O21+'NSW Controls'!$V$11,IF(O21+'NSW Controls'!$V$11&gt;'NSW Controls'!$V$36,'NSW Controls'!$V$36,'NSW Controls'!$V$37))</f>
        <v>8.5</v>
      </c>
      <c r="P22" s="56">
        <f t="shared" si="10"/>
        <v>2823.02</v>
      </c>
      <c r="Q22" s="58">
        <f t="shared" si="11"/>
        <v>447608.82372490381</v>
      </c>
      <c r="R22" s="25"/>
      <c r="S22" s="25"/>
      <c r="T22" s="25"/>
      <c r="U22" s="20">
        <f t="shared" si="12"/>
        <v>17.645368051487882</v>
      </c>
      <c r="X22" s="141" t="str">
        <f t="shared" si="4"/>
        <v/>
      </c>
      <c r="Y22" s="57">
        <f t="shared" si="5"/>
        <v>17.645368051487882</v>
      </c>
      <c r="Z22" s="25"/>
    </row>
    <row r="23" spans="1:26" x14ac:dyDescent="0.15">
      <c r="A23" s="3">
        <f t="shared" si="6"/>
        <v>2020</v>
      </c>
      <c r="B23" s="3">
        <v>2020</v>
      </c>
      <c r="D23" s="53">
        <v>2020</v>
      </c>
      <c r="E23" s="66">
        <f>'NSW Projections data for calcs'!B19</f>
        <v>34190</v>
      </c>
      <c r="F23" s="66">
        <f>'NSW Projections data for calcs'!C19</f>
        <v>2581373</v>
      </c>
      <c r="G23" s="57">
        <f>Q22/F23*100</f>
        <v>17.339951402796256</v>
      </c>
      <c r="H23" s="66">
        <f>Q22</f>
        <v>447608.82372490381</v>
      </c>
      <c r="I23" s="127">
        <f>IF(AND(I22+'NSW Controls'!$P$11&lt;='NSW Controls'!$P$36,I22+'NSW Controls'!$P$11&gt;='NSW Controls'!$P$37),I22+'NSW Controls'!$P$11,IF(I22+'NSW Controls'!$P$11&gt;'NSW Controls'!$P$36,'NSW Controls'!$P$36,'NSW Controls'!$P$37))</f>
        <v>2.5</v>
      </c>
      <c r="J23" s="66">
        <f t="shared" si="14"/>
        <v>11190.220593122596</v>
      </c>
      <c r="K23" s="127">
        <f t="shared" si="7"/>
        <v>0.75</v>
      </c>
      <c r="L23" s="66">
        <f t="shared" si="8"/>
        <v>3357.0661779367783</v>
      </c>
      <c r="M23" s="127">
        <f>IF(AND(M22+'NSW Controls'!$S$11&lt;='NSW Controls'!$S$36,M22+'NSW Controls'!$S$11&gt;='NSW Controls'!$S$37),M22+'NSW Controls'!$S$11,IF(M22+'NSW Controls'!$S$11&gt;'NSW Controls'!$S$36,'NSW Controls'!$S$36,'NSW Controls'!$S$37))</f>
        <v>0.2</v>
      </c>
      <c r="N23" s="66">
        <f t="shared" si="9"/>
        <v>5162.7460000000001</v>
      </c>
      <c r="O23" s="57">
        <f>IF(AND(O22+'NSW Controls'!$V$11&lt;='NSW Controls'!$V$36,O22+'NSW Controls'!$V$11&gt;='NSW Controls'!$V$37),O22+'NSW Controls'!$V$11,IF(O22+'NSW Controls'!$V$11&gt;'NSW Controls'!$V$36,'NSW Controls'!$V$36,'NSW Controls'!$V$37))</f>
        <v>8.5</v>
      </c>
      <c r="P23" s="66">
        <f t="shared" si="10"/>
        <v>2906.15</v>
      </c>
      <c r="Q23" s="67">
        <f t="shared" si="11"/>
        <v>441130.43295384443</v>
      </c>
      <c r="R23" s="25"/>
      <c r="S23" s="25"/>
      <c r="T23" s="25"/>
      <c r="U23" s="20">
        <f t="shared" si="12"/>
        <v>17.339951402796256</v>
      </c>
      <c r="V23" s="3">
        <v>16</v>
      </c>
      <c r="X23" s="141" t="str">
        <f t="shared" si="4"/>
        <v/>
      </c>
      <c r="Y23" s="57">
        <f t="shared" si="5"/>
        <v>17.339951402796256</v>
      </c>
      <c r="Z23" s="25"/>
    </row>
    <row r="24" spans="1:26" x14ac:dyDescent="0.15">
      <c r="A24" s="3">
        <f t="shared" si="6"/>
        <v>2021</v>
      </c>
      <c r="B24" s="3">
        <v>2021</v>
      </c>
      <c r="D24" s="61">
        <v>2021</v>
      </c>
      <c r="E24" s="56">
        <f>'NSW Projections data for calcs'!B20</f>
        <v>35456</v>
      </c>
      <c r="F24" s="56">
        <f>'NSW Projections data for calcs'!C20</f>
        <v>2588257</v>
      </c>
      <c r="G24" s="59">
        <f t="shared" ref="G24:G39" si="15">Q23/F24*100</f>
        <v>17.043532885406837</v>
      </c>
      <c r="H24" s="56">
        <f t="shared" si="13"/>
        <v>441130.43295384443</v>
      </c>
      <c r="I24" s="60">
        <f>IF(AND(I23+'NSW Controls'!$P$11&lt;='NSW Controls'!$P$36,I23+'NSW Controls'!$P$11&gt;='NSW Controls'!$P$37),I23+'NSW Controls'!$P$11,IF(I23+'NSW Controls'!$P$11&gt;'NSW Controls'!$P$36,'NSW Controls'!$P$36,'NSW Controls'!$P$37))</f>
        <v>2.5</v>
      </c>
      <c r="J24" s="56">
        <f t="shared" si="14"/>
        <v>11028.260823846111</v>
      </c>
      <c r="K24" s="60">
        <f t="shared" si="7"/>
        <v>0.75</v>
      </c>
      <c r="L24" s="56">
        <f t="shared" si="8"/>
        <v>3308.4782471538333</v>
      </c>
      <c r="M24" s="60">
        <f>IF(AND(M23+'NSW Controls'!$S$11&lt;='NSW Controls'!$S$36,M23+'NSW Controls'!$S$11&gt;='NSW Controls'!$S$37),M23+'NSW Controls'!$S$11,IF(M23+'NSW Controls'!$S$11&gt;'NSW Controls'!$S$36,'NSW Controls'!$S$36,'NSW Controls'!$S$37))</f>
        <v>0.2</v>
      </c>
      <c r="N24" s="56">
        <f t="shared" si="9"/>
        <v>5176.5140000000001</v>
      </c>
      <c r="O24" s="59">
        <f>IF(AND(O23+'NSW Controls'!$V$11&lt;='NSW Controls'!$V$36,O23+'NSW Controls'!$V$11&gt;='NSW Controls'!$V$37),O23+'NSW Controls'!$V$11,IF(O23+'NSW Controls'!$V$11&gt;'NSW Controls'!$V$36,'NSW Controls'!$V$36,'NSW Controls'!$V$37))</f>
        <v>8.5</v>
      </c>
      <c r="P24" s="56">
        <f t="shared" si="10"/>
        <v>3013.76</v>
      </c>
      <c r="Q24" s="58">
        <f t="shared" si="11"/>
        <v>434983.96788284456</v>
      </c>
      <c r="R24" s="25"/>
      <c r="S24" s="25"/>
      <c r="T24" s="25"/>
      <c r="U24" s="20">
        <f t="shared" si="12"/>
        <v>17.043532885406837</v>
      </c>
      <c r="X24" s="141" t="str">
        <f t="shared" si="4"/>
        <v/>
      </c>
      <c r="Y24" s="57">
        <f t="shared" si="5"/>
        <v>17.043532885406837</v>
      </c>
      <c r="Z24" s="25"/>
    </row>
    <row r="25" spans="1:26" x14ac:dyDescent="0.15">
      <c r="A25" s="3">
        <f t="shared" si="6"/>
        <v>2022</v>
      </c>
      <c r="B25" s="3">
        <v>2022</v>
      </c>
      <c r="D25" s="61">
        <v>2022</v>
      </c>
      <c r="E25" s="56">
        <f>'NSW Projections data for calcs'!B21</f>
        <v>35995</v>
      </c>
      <c r="F25" s="56">
        <f>'NSW Projections data for calcs'!C21</f>
        <v>2596328</v>
      </c>
      <c r="G25" s="59">
        <f t="shared" si="15"/>
        <v>16.753814151480263</v>
      </c>
      <c r="H25" s="56">
        <f t="shared" si="13"/>
        <v>434983.96788284456</v>
      </c>
      <c r="I25" s="60">
        <f>IF(AND(I24+'NSW Controls'!$P$11&lt;='NSW Controls'!$P$36,I24+'NSW Controls'!$P$11&gt;='NSW Controls'!$P$37),I24+'NSW Controls'!$P$11,IF(I24+'NSW Controls'!$P$11&gt;'NSW Controls'!$P$36,'NSW Controls'!$P$36,'NSW Controls'!$P$37))</f>
        <v>2.5</v>
      </c>
      <c r="J25" s="56">
        <f t="shared" si="14"/>
        <v>10874.599197071115</v>
      </c>
      <c r="K25" s="60">
        <f t="shared" si="7"/>
        <v>0.75</v>
      </c>
      <c r="L25" s="56">
        <f t="shared" si="8"/>
        <v>3262.3797591213342</v>
      </c>
      <c r="M25" s="60">
        <f>IF(AND(M24+'NSW Controls'!$S$11&lt;='NSW Controls'!$S$36,M24+'NSW Controls'!$S$11&gt;='NSW Controls'!$S$37),M24+'NSW Controls'!$S$11,IF(M24+'NSW Controls'!$S$11&gt;'NSW Controls'!$S$36,'NSW Controls'!$S$36,'NSW Controls'!$S$37))</f>
        <v>0.2</v>
      </c>
      <c r="N25" s="56">
        <f t="shared" si="9"/>
        <v>5192.6559999999999</v>
      </c>
      <c r="O25" s="59">
        <f>IF(AND(O24+'NSW Controls'!$V$11&lt;='NSW Controls'!$V$36,O24+'NSW Controls'!$V$11&gt;='NSW Controls'!$V$37),O24+'NSW Controls'!$V$11,IF(O24+'NSW Controls'!$V$11&gt;'NSW Controls'!$V$36,'NSW Controls'!$V$36,'NSW Controls'!$V$37))</f>
        <v>8.5</v>
      </c>
      <c r="P25" s="56">
        <f t="shared" si="10"/>
        <v>3059.5750000000003</v>
      </c>
      <c r="Q25" s="58">
        <f t="shared" si="11"/>
        <v>429099.21992665215</v>
      </c>
      <c r="R25" s="25"/>
      <c r="S25" s="25"/>
      <c r="T25" s="25"/>
      <c r="U25" s="20">
        <f t="shared" si="12"/>
        <v>16.753814151480263</v>
      </c>
      <c r="X25" s="141" t="str">
        <f t="shared" si="4"/>
        <v/>
      </c>
      <c r="Y25" s="57">
        <f t="shared" si="5"/>
        <v>16.753814151480263</v>
      </c>
      <c r="Z25" s="25"/>
    </row>
    <row r="26" spans="1:26" x14ac:dyDescent="0.15">
      <c r="A26" s="3">
        <f t="shared" si="6"/>
        <v>2023</v>
      </c>
      <c r="B26" s="3">
        <v>2023</v>
      </c>
      <c r="D26" s="61">
        <v>2023</v>
      </c>
      <c r="E26" s="56">
        <f>'NSW Projections data for calcs'!B22</f>
        <v>37427</v>
      </c>
      <c r="F26" s="56">
        <f>'NSW Projections data for calcs'!C22</f>
        <v>2604892</v>
      </c>
      <c r="G26" s="57">
        <f t="shared" si="15"/>
        <v>16.472821903044434</v>
      </c>
      <c r="H26" s="66">
        <f t="shared" si="13"/>
        <v>429099.21992665215</v>
      </c>
      <c r="I26" s="60">
        <f>IF(AND(I25+'NSW Controls'!$P$11&lt;='NSW Controls'!$P$36,I25+'NSW Controls'!$P$11&gt;='NSW Controls'!$P$37),I25+'NSW Controls'!$P$11,IF(I25+'NSW Controls'!$P$11&gt;'NSW Controls'!$P$36,'NSW Controls'!$P$36,'NSW Controls'!$P$37))</f>
        <v>2.5</v>
      </c>
      <c r="J26" s="56">
        <f t="shared" si="14"/>
        <v>10727.480498166304</v>
      </c>
      <c r="K26" s="60">
        <f t="shared" si="7"/>
        <v>0.75</v>
      </c>
      <c r="L26" s="56">
        <f t="shared" si="8"/>
        <v>3218.2441494498912</v>
      </c>
      <c r="M26" s="60">
        <f>IF(AND(M25+'NSW Controls'!$S$11&lt;='NSW Controls'!$S$36,M25+'NSW Controls'!$S$11&gt;='NSW Controls'!$S$37),M25+'NSW Controls'!$S$11,IF(M25+'NSW Controls'!$S$11&gt;'NSW Controls'!$S$36,'NSW Controls'!$S$36,'NSW Controls'!$S$37))</f>
        <v>0.2</v>
      </c>
      <c r="N26" s="56">
        <f t="shared" si="9"/>
        <v>5209.7840000000006</v>
      </c>
      <c r="O26" s="59">
        <f>IF(AND(O25+'NSW Controls'!$V$11&lt;='NSW Controls'!$V$36,O25+'NSW Controls'!$V$11&gt;='NSW Controls'!$V$37),O25+'NSW Controls'!$V$11,IF(O25+'NSW Controls'!$V$11&gt;'NSW Controls'!$V$36,'NSW Controls'!$V$36,'NSW Controls'!$V$37))</f>
        <v>8.5</v>
      </c>
      <c r="P26" s="66">
        <f t="shared" si="10"/>
        <v>3181.2950000000001</v>
      </c>
      <c r="Q26" s="67">
        <f t="shared" si="11"/>
        <v>423544.57427903597</v>
      </c>
      <c r="R26" s="25"/>
      <c r="S26" s="25"/>
      <c r="T26" s="25"/>
      <c r="U26" s="20">
        <f>G26</f>
        <v>16.472821903044434</v>
      </c>
      <c r="X26" s="141" t="str">
        <f t="shared" si="4"/>
        <v/>
      </c>
      <c r="Y26" s="57">
        <f t="shared" si="5"/>
        <v>16.472821903044434</v>
      </c>
      <c r="Z26" s="25"/>
    </row>
    <row r="27" spans="1:26" x14ac:dyDescent="0.15">
      <c r="A27" s="3">
        <f t="shared" si="6"/>
        <v>2024</v>
      </c>
      <c r="B27" s="3">
        <v>2024</v>
      </c>
      <c r="D27" s="61">
        <v>2024</v>
      </c>
      <c r="E27" s="56">
        <f>'NSW Projections data for calcs'!B23</f>
        <v>36792</v>
      </c>
      <c r="F27" s="56">
        <f>'NSW Projections data for calcs'!C23</f>
        <v>2614880</v>
      </c>
      <c r="G27" s="68">
        <f t="shared" si="15"/>
        <v>16.197476529670041</v>
      </c>
      <c r="H27" s="66">
        <f t="shared" si="13"/>
        <v>423544.57427903597</v>
      </c>
      <c r="I27" s="60">
        <f>IF(AND(I26+'NSW Controls'!$P$11&lt;='NSW Controls'!$P$36,I26+'NSW Controls'!$P$11&gt;='NSW Controls'!$P$37),I26+'NSW Controls'!$P$11,IF(I26+'NSW Controls'!$P$11&gt;'NSW Controls'!$P$36,'NSW Controls'!$P$36,'NSW Controls'!$P$37))</f>
        <v>2.5</v>
      </c>
      <c r="J27" s="56">
        <f t="shared" si="14"/>
        <v>10588.614356975901</v>
      </c>
      <c r="K27" s="60">
        <f t="shared" si="7"/>
        <v>0.75</v>
      </c>
      <c r="L27" s="56">
        <f t="shared" si="8"/>
        <v>3176.5843070927694</v>
      </c>
      <c r="M27" s="60">
        <f>IF(AND(M26+'NSW Controls'!$S$11&lt;='NSW Controls'!$S$36,M26+'NSW Controls'!$S$11&gt;='NSW Controls'!$S$37),M26+'NSW Controls'!$S$11,IF(M26+'NSW Controls'!$S$11&gt;'NSW Controls'!$S$36,'NSW Controls'!$S$36,'NSW Controls'!$S$37))</f>
        <v>0.2</v>
      </c>
      <c r="N27" s="56">
        <f t="shared" si="9"/>
        <v>5229.76</v>
      </c>
      <c r="O27" s="59">
        <f>IF(AND(O26+'NSW Controls'!$V$11&lt;='NSW Controls'!$V$36,O26+'NSW Controls'!$V$11&gt;='NSW Controls'!$V$37),O26+'NSW Controls'!$V$11,IF(O26+'NSW Controls'!$V$11&gt;'NSW Controls'!$V$36,'NSW Controls'!$V$36,'NSW Controls'!$V$37))</f>
        <v>8.5</v>
      </c>
      <c r="P27" s="66">
        <f t="shared" si="10"/>
        <v>3127.32</v>
      </c>
      <c r="Q27" s="67">
        <f t="shared" si="11"/>
        <v>418136.45561496733</v>
      </c>
      <c r="R27" s="25"/>
      <c r="S27" s="25"/>
      <c r="T27" s="25"/>
      <c r="U27" s="20">
        <f>G27</f>
        <v>16.197476529670041</v>
      </c>
      <c r="X27" s="141" t="str">
        <f t="shared" si="4"/>
        <v/>
      </c>
      <c r="Y27" s="57">
        <f t="shared" si="5"/>
        <v>16.197476529670041</v>
      </c>
      <c r="Z27" s="25"/>
    </row>
    <row r="28" spans="1:26" x14ac:dyDescent="0.15">
      <c r="A28" s="3">
        <f t="shared" si="6"/>
        <v>2025</v>
      </c>
      <c r="B28" s="3">
        <v>2025</v>
      </c>
      <c r="D28" s="61">
        <v>2025</v>
      </c>
      <c r="E28" s="56">
        <f>'NSW Projections data for calcs'!B24</f>
        <v>37364</v>
      </c>
      <c r="F28" s="56">
        <f>'NSW Projections data for calcs'!C24</f>
        <v>2624233</v>
      </c>
      <c r="G28" s="59">
        <f t="shared" si="15"/>
        <v>15.933663497675981</v>
      </c>
      <c r="H28" s="56">
        <f t="shared" si="13"/>
        <v>418136.45561496733</v>
      </c>
      <c r="I28" s="60">
        <f>IF(AND(I27+'NSW Controls'!$P$11&lt;='NSW Controls'!$P$36,I27+'NSW Controls'!$P$11&gt;='NSW Controls'!$P$37),I27+'NSW Controls'!$P$11,IF(I27+'NSW Controls'!$P$11&gt;'NSW Controls'!$P$36,'NSW Controls'!$P$36,'NSW Controls'!$P$37))</f>
        <v>2.5</v>
      </c>
      <c r="J28" s="56">
        <f t="shared" si="14"/>
        <v>10453.411390374184</v>
      </c>
      <c r="K28" s="60">
        <f t="shared" si="7"/>
        <v>0.75</v>
      </c>
      <c r="L28" s="56">
        <f t="shared" si="8"/>
        <v>3136.0234171122547</v>
      </c>
      <c r="M28" s="60">
        <f>IF(AND(M27+'NSW Controls'!$S$11&lt;='NSW Controls'!$S$36,M27+'NSW Controls'!$S$11&gt;='NSW Controls'!$S$37),M27+'NSW Controls'!$S$11,IF(M27+'NSW Controls'!$S$11&gt;'NSW Controls'!$S$36,'NSW Controls'!$S$36,'NSW Controls'!$S$37))</f>
        <v>0.2</v>
      </c>
      <c r="N28" s="56">
        <f t="shared" si="9"/>
        <v>5248.4660000000003</v>
      </c>
      <c r="O28" s="59">
        <f>IF(AND(O27+'NSW Controls'!$V$11&lt;='NSW Controls'!$V$36,O27+'NSW Controls'!$V$11&gt;='NSW Controls'!$V$37),O27+'NSW Controls'!$V$11,IF(O27+'NSW Controls'!$V$11&gt;'NSW Controls'!$V$36,'NSW Controls'!$V$36,'NSW Controls'!$V$37))</f>
        <v>8.5</v>
      </c>
      <c r="P28" s="56">
        <f t="shared" si="10"/>
        <v>3175.94</v>
      </c>
      <c r="Q28" s="58">
        <f t="shared" si="11"/>
        <v>412971.42680748092</v>
      </c>
      <c r="R28" s="25"/>
      <c r="S28" s="25"/>
      <c r="T28" s="25"/>
      <c r="U28" s="20">
        <f t="shared" ref="U28:U38" si="16">G28</f>
        <v>15.933663497675981</v>
      </c>
      <c r="X28" s="141">
        <f t="shared" si="4"/>
        <v>2025</v>
      </c>
      <c r="Y28" s="57">
        <f t="shared" si="5"/>
        <v>15.933663497675981</v>
      </c>
      <c r="Z28" s="25"/>
    </row>
    <row r="29" spans="1:26" x14ac:dyDescent="0.15">
      <c r="A29" s="3">
        <f t="shared" si="6"/>
        <v>2026</v>
      </c>
      <c r="B29" s="3">
        <v>2026</v>
      </c>
      <c r="D29" s="61">
        <v>2026</v>
      </c>
      <c r="E29" s="56">
        <f>'NSW Projections data for calcs'!B25</f>
        <v>38201</v>
      </c>
      <c r="F29" s="56">
        <f>'NSW Projections data for calcs'!C25</f>
        <v>2634085</v>
      </c>
      <c r="G29" s="59">
        <f t="shared" si="15"/>
        <v>15.677984074450176</v>
      </c>
      <c r="H29" s="56">
        <f t="shared" si="13"/>
        <v>412971.42680748092</v>
      </c>
      <c r="I29" s="60">
        <f>IF(AND(I28+'NSW Controls'!$P$11&lt;='NSW Controls'!$P$36,I28+'NSW Controls'!$P$11&gt;='NSW Controls'!$P$37),I28+'NSW Controls'!$P$11,IF(I28+'NSW Controls'!$P$11&gt;'NSW Controls'!$P$36,'NSW Controls'!$P$36,'NSW Controls'!$P$37))</f>
        <v>2.5</v>
      </c>
      <c r="J29" s="56">
        <f t="shared" si="14"/>
        <v>10324.285670187024</v>
      </c>
      <c r="K29" s="60">
        <f t="shared" si="7"/>
        <v>0.75</v>
      </c>
      <c r="L29" s="56">
        <f t="shared" si="8"/>
        <v>3097.285701056107</v>
      </c>
      <c r="M29" s="60">
        <f>IF(AND(M28+'NSW Controls'!$S$11&lt;='NSW Controls'!$S$36,M28+'NSW Controls'!$S$11&gt;='NSW Controls'!$S$37),M28+'NSW Controls'!$S$11,IF(M28+'NSW Controls'!$S$11&gt;'NSW Controls'!$S$36,'NSW Controls'!$S$36,'NSW Controls'!$S$37))</f>
        <v>0.2</v>
      </c>
      <c r="N29" s="56">
        <f t="shared" si="9"/>
        <v>5268.17</v>
      </c>
      <c r="O29" s="59">
        <f>IF(AND(O28+'NSW Controls'!$V$11&lt;='NSW Controls'!$V$36,O28+'NSW Controls'!$V$11&gt;='NSW Controls'!$V$37),O28+'NSW Controls'!$V$11,IF(O28+'NSW Controls'!$V$11&gt;'NSW Controls'!$V$36,'NSW Controls'!$V$36,'NSW Controls'!$V$37))</f>
        <v>8.5</v>
      </c>
      <c r="P29" s="56">
        <f t="shared" si="10"/>
        <v>3247.085</v>
      </c>
      <c r="Q29" s="58">
        <f t="shared" si="11"/>
        <v>408065.11043623777</v>
      </c>
      <c r="R29" s="25"/>
      <c r="S29" s="25"/>
      <c r="T29" s="25"/>
      <c r="U29" s="20">
        <f t="shared" si="16"/>
        <v>15.677984074450176</v>
      </c>
      <c r="X29" s="141">
        <f t="shared" si="4"/>
        <v>2026</v>
      </c>
      <c r="Y29" s="57">
        <f t="shared" si="5"/>
        <v>15.677984074450176</v>
      </c>
      <c r="Z29" s="25"/>
    </row>
    <row r="30" spans="1:26" x14ac:dyDescent="0.15">
      <c r="A30" s="3">
        <f t="shared" si="6"/>
        <v>2027</v>
      </c>
      <c r="B30" s="3">
        <v>2027</v>
      </c>
      <c r="D30" s="61">
        <v>2027</v>
      </c>
      <c r="E30" s="56">
        <f>'NSW Projections data for calcs'!B26</f>
        <v>37446</v>
      </c>
      <c r="F30" s="56">
        <f>'NSW Projections data for calcs'!C26</f>
        <v>2644589</v>
      </c>
      <c r="G30" s="59">
        <f>Q29/F30*100</f>
        <v>15.430190114087209</v>
      </c>
      <c r="H30" s="56">
        <f t="shared" si="13"/>
        <v>408065.11043623777</v>
      </c>
      <c r="I30" s="60">
        <f>IF(AND(I29+'NSW Controls'!$P$11&lt;='NSW Controls'!$P$36,I29+'NSW Controls'!$P$11&gt;='NSW Controls'!$P$37),I29+'NSW Controls'!$P$11,IF(I29+'NSW Controls'!$P$11&gt;'NSW Controls'!$P$36,'NSW Controls'!$P$36,'NSW Controls'!$P$37))</f>
        <v>2.5</v>
      </c>
      <c r="J30" s="56">
        <f t="shared" si="14"/>
        <v>10201.627760905945</v>
      </c>
      <c r="K30" s="60">
        <f t="shared" si="7"/>
        <v>0.75</v>
      </c>
      <c r="L30" s="56">
        <f t="shared" si="8"/>
        <v>3060.4883282717833</v>
      </c>
      <c r="M30" s="60">
        <f>IF(AND(M29+'NSW Controls'!$S$11&lt;='NSW Controls'!$S$36,M29+'NSW Controls'!$S$11&gt;='NSW Controls'!$S$37),M29+'NSW Controls'!$S$11,IF(M29+'NSW Controls'!$S$11&gt;'NSW Controls'!$S$36,'NSW Controls'!$S$36,'NSW Controls'!$S$37))</f>
        <v>0.2</v>
      </c>
      <c r="N30" s="56">
        <f t="shared" si="9"/>
        <v>5289.1779999999999</v>
      </c>
      <c r="O30" s="59">
        <f>IF(AND(O29+'NSW Controls'!$V$11&lt;='NSW Controls'!$V$36,O29+'NSW Controls'!$V$11&gt;='NSW Controls'!$V$37),O29+'NSW Controls'!$V$11,IF(O29+'NSW Controls'!$V$11&gt;'NSW Controls'!$V$36,'NSW Controls'!$V$36,'NSW Controls'!$V$37))</f>
        <v>8.5</v>
      </c>
      <c r="P30" s="56">
        <f t="shared" si="10"/>
        <v>3182.9100000000003</v>
      </c>
      <c r="Q30" s="58">
        <f t="shared" si="11"/>
        <v>403275.08234706003</v>
      </c>
      <c r="R30" s="25"/>
      <c r="S30" s="25"/>
      <c r="T30" s="25"/>
      <c r="U30" s="20">
        <f t="shared" si="16"/>
        <v>15.430190114087209</v>
      </c>
      <c r="X30" s="141">
        <f t="shared" si="4"/>
        <v>2027</v>
      </c>
      <c r="Y30" s="57">
        <f t="shared" si="5"/>
        <v>15.430190114087209</v>
      </c>
      <c r="Z30" s="25"/>
    </row>
    <row r="31" spans="1:26" x14ac:dyDescent="0.15">
      <c r="A31" s="3">
        <f t="shared" si="6"/>
        <v>2028</v>
      </c>
      <c r="B31" s="3">
        <v>2028</v>
      </c>
      <c r="D31" s="61">
        <v>2028</v>
      </c>
      <c r="E31" s="56">
        <f>'NSW Projections data for calcs'!B27</f>
        <v>36258</v>
      </c>
      <c r="F31" s="56">
        <f>'NSW Projections data for calcs'!C27</f>
        <v>2654083</v>
      </c>
      <c r="G31" s="59">
        <f>Q30/F31*100</f>
        <v>15.19451661259501</v>
      </c>
      <c r="H31" s="56">
        <f t="shared" si="13"/>
        <v>403275.08234706003</v>
      </c>
      <c r="I31" s="60">
        <f>IF(AND(I30+'NSW Controls'!$P$11&lt;='NSW Controls'!$P$36,I30+'NSW Controls'!$P$11&gt;='NSW Controls'!$P$37),I30+'NSW Controls'!$P$11,IF(I30+'NSW Controls'!$P$11&gt;'NSW Controls'!$P$36,'NSW Controls'!$P$36,'NSW Controls'!$P$37))</f>
        <v>2.5</v>
      </c>
      <c r="J31" s="56">
        <f t="shared" si="14"/>
        <v>10081.877058676502</v>
      </c>
      <c r="K31" s="60">
        <f t="shared" si="7"/>
        <v>0.75</v>
      </c>
      <c r="L31" s="56">
        <f t="shared" si="8"/>
        <v>3024.5631176029501</v>
      </c>
      <c r="M31" s="60">
        <f>IF(AND(M30+'NSW Controls'!$S$11&lt;='NSW Controls'!$S$36,M30+'NSW Controls'!$S$11&gt;='NSW Controls'!$S$37),M30+'NSW Controls'!$S$11,IF(M30+'NSW Controls'!$S$11&gt;'NSW Controls'!$S$36,'NSW Controls'!$S$36,'NSW Controls'!$S$37))</f>
        <v>0.2</v>
      </c>
      <c r="N31" s="56">
        <f t="shared" si="9"/>
        <v>5308.1660000000002</v>
      </c>
      <c r="O31" s="59">
        <f>IF(AND(O30+'NSW Controls'!$V$11&lt;='NSW Controls'!$V$36,O30+'NSW Controls'!$V$11&gt;='NSW Controls'!$V$37),O30+'NSW Controls'!$V$11,IF(O30+'NSW Controls'!$V$11&gt;'NSW Controls'!$V$36,'NSW Controls'!$V$36,'NSW Controls'!$V$37))</f>
        <v>8.5</v>
      </c>
      <c r="P31" s="56">
        <f t="shared" si="10"/>
        <v>3081.9300000000003</v>
      </c>
      <c r="Q31" s="58">
        <f t="shared" si="11"/>
        <v>398558.73817078059</v>
      </c>
      <c r="R31" s="25"/>
      <c r="S31" s="25"/>
      <c r="T31" s="25"/>
      <c r="U31" s="20">
        <f t="shared" si="16"/>
        <v>15.19451661259501</v>
      </c>
      <c r="X31" s="141">
        <f t="shared" si="4"/>
        <v>2028</v>
      </c>
      <c r="Y31" s="57">
        <f t="shared" si="5"/>
        <v>15.19451661259501</v>
      </c>
      <c r="Z31" s="25"/>
    </row>
    <row r="32" spans="1:26" x14ac:dyDescent="0.15">
      <c r="A32" s="3">
        <f t="shared" si="6"/>
        <v>2029</v>
      </c>
      <c r="B32" s="3">
        <v>2029</v>
      </c>
      <c r="D32" s="61">
        <v>2029</v>
      </c>
      <c r="E32" s="56">
        <f>'NSW Projections data for calcs'!B28</f>
        <v>35315</v>
      </c>
      <c r="F32" s="56">
        <f>'NSW Projections data for calcs'!C28</f>
        <v>2661987</v>
      </c>
      <c r="G32" s="59">
        <f t="shared" si="15"/>
        <v>14.972227068380898</v>
      </c>
      <c r="H32" s="56">
        <f t="shared" si="13"/>
        <v>398558.73817078059</v>
      </c>
      <c r="I32" s="60">
        <f>IF(AND(I31+'NSW Controls'!$P$11&lt;='NSW Controls'!$P$36,I31+'NSW Controls'!$P$11&gt;='NSW Controls'!$P$37),I31+'NSW Controls'!$P$11,IF(I31+'NSW Controls'!$P$11&gt;'NSW Controls'!$P$36,'NSW Controls'!$P$36,'NSW Controls'!$P$37))</f>
        <v>2.5</v>
      </c>
      <c r="J32" s="56">
        <f t="shared" si="14"/>
        <v>9963.9684542695159</v>
      </c>
      <c r="K32" s="60">
        <f t="shared" si="7"/>
        <v>0.75</v>
      </c>
      <c r="L32" s="56">
        <f t="shared" si="8"/>
        <v>2989.1905362808543</v>
      </c>
      <c r="M32" s="60">
        <f>IF(AND(M31+'NSW Controls'!$S$11&lt;='NSW Controls'!$S$36,M31+'NSW Controls'!$S$11&gt;='NSW Controls'!$S$37),M31+'NSW Controls'!$S$11,IF(M31+'NSW Controls'!$S$11&gt;'NSW Controls'!$S$36,'NSW Controls'!$S$36,'NSW Controls'!$S$37))</f>
        <v>0.2</v>
      </c>
      <c r="N32" s="56">
        <f t="shared" si="9"/>
        <v>5323.9740000000002</v>
      </c>
      <c r="O32" s="59">
        <f>IF(AND(O31+'NSW Controls'!$V$11&lt;='NSW Controls'!$V$36,O31+'NSW Controls'!$V$11&gt;='NSW Controls'!$V$37),O31+'NSW Controls'!$V$11,IF(O31+'NSW Controls'!$V$11&gt;'NSW Controls'!$V$36,'NSW Controls'!$V$36,'NSW Controls'!$V$37))</f>
        <v>8.5</v>
      </c>
      <c r="P32" s="56">
        <f t="shared" si="10"/>
        <v>3001.7750000000001</v>
      </c>
      <c r="Q32" s="58">
        <f t="shared" si="11"/>
        <v>393931.32818023022</v>
      </c>
      <c r="R32" s="25"/>
      <c r="S32" s="25"/>
      <c r="T32" s="25"/>
      <c r="U32" s="20">
        <f t="shared" si="16"/>
        <v>14.972227068380898</v>
      </c>
      <c r="X32" s="141">
        <f t="shared" si="4"/>
        <v>2029</v>
      </c>
      <c r="Y32" s="57">
        <f t="shared" si="5"/>
        <v>14.972227068380898</v>
      </c>
      <c r="Z32" s="25"/>
    </row>
    <row r="33" spans="1:26" x14ac:dyDescent="0.15">
      <c r="A33" s="3">
        <f t="shared" si="6"/>
        <v>2030</v>
      </c>
      <c r="B33" s="3">
        <v>2030</v>
      </c>
      <c r="D33" s="61">
        <v>2030</v>
      </c>
      <c r="E33" s="56">
        <f>'NSW Projections data for calcs'!B29</f>
        <v>35085</v>
      </c>
      <c r="F33" s="56">
        <f>'NSW Projections data for calcs'!C29</f>
        <v>2668517</v>
      </c>
      <c r="G33" s="59">
        <f t="shared" si="15"/>
        <v>14.762181697932981</v>
      </c>
      <c r="H33" s="56">
        <f t="shared" si="13"/>
        <v>393931.32818023022</v>
      </c>
      <c r="I33" s="60">
        <f>IF(AND(I32+'NSW Controls'!$P$11&lt;='NSW Controls'!$P$36,I32+'NSW Controls'!$P$11&gt;='NSW Controls'!$P$37),I32+'NSW Controls'!$P$11,IF(I32+'NSW Controls'!$P$11&gt;'NSW Controls'!$P$36,'NSW Controls'!$P$36,'NSW Controls'!$P$37))</f>
        <v>2.5</v>
      </c>
      <c r="J33" s="56">
        <f t="shared" si="14"/>
        <v>9848.2832045057567</v>
      </c>
      <c r="K33" s="60">
        <f t="shared" si="7"/>
        <v>0.75</v>
      </c>
      <c r="L33" s="56">
        <f t="shared" si="8"/>
        <v>2954.4849613517267</v>
      </c>
      <c r="M33" s="60">
        <f>IF(AND(M32+'NSW Controls'!$S$11&lt;='NSW Controls'!$S$36,M32+'NSW Controls'!$S$11&gt;='NSW Controls'!$S$37),M32+'NSW Controls'!$S$11,IF(M32+'NSW Controls'!$S$11&gt;'NSW Controls'!$S$36,'NSW Controls'!$S$36,'NSW Controls'!$S$37))</f>
        <v>0.2</v>
      </c>
      <c r="N33" s="56">
        <f t="shared" si="9"/>
        <v>5337.0340000000006</v>
      </c>
      <c r="O33" s="59">
        <f>IF(AND(O32+'NSW Controls'!$V$11&lt;='NSW Controls'!$V$36,O32+'NSW Controls'!$V$11&gt;='NSW Controls'!$V$37),O32+'NSW Controls'!$V$11,IF(O32+'NSW Controls'!$V$11&gt;'NSW Controls'!$V$36,'NSW Controls'!$V$36,'NSW Controls'!$V$37))</f>
        <v>8.5</v>
      </c>
      <c r="P33" s="56">
        <f t="shared" si="10"/>
        <v>2982.2250000000004</v>
      </c>
      <c r="Q33" s="58">
        <f t="shared" si="11"/>
        <v>389447.81901437271</v>
      </c>
      <c r="R33" s="25"/>
      <c r="S33" s="25"/>
      <c r="T33" s="25"/>
      <c r="U33" s="20">
        <f t="shared" si="16"/>
        <v>14.762181697932981</v>
      </c>
      <c r="X33" s="141">
        <f t="shared" si="4"/>
        <v>2030</v>
      </c>
      <c r="Y33" s="57">
        <f t="shared" si="5"/>
        <v>14.762181697932981</v>
      </c>
      <c r="Z33" s="25"/>
    </row>
    <row r="34" spans="1:26" x14ac:dyDescent="0.15">
      <c r="A34" s="3">
        <f t="shared" si="6"/>
        <v>2031</v>
      </c>
      <c r="B34" s="3">
        <v>2031</v>
      </c>
      <c r="D34" s="61">
        <v>2031</v>
      </c>
      <c r="E34" s="56">
        <f>'NSW Projections data for calcs'!B30</f>
        <v>35271</v>
      </c>
      <c r="F34" s="56">
        <f>'NSW Projections data for calcs'!C30</f>
        <v>2674378</v>
      </c>
      <c r="G34" s="59">
        <f t="shared" si="15"/>
        <v>14.562183020290053</v>
      </c>
      <c r="H34" s="56">
        <f t="shared" si="13"/>
        <v>389447.81901437271</v>
      </c>
      <c r="I34" s="60">
        <f>IF(AND(I33+'NSW Controls'!$P$11&lt;='NSW Controls'!$P$36,I33+'NSW Controls'!$P$11&gt;='NSW Controls'!$P$37),I33+'NSW Controls'!$P$11,IF(I33+'NSW Controls'!$P$11&gt;'NSW Controls'!$P$36,'NSW Controls'!$P$36,'NSW Controls'!$P$37))</f>
        <v>2.5</v>
      </c>
      <c r="J34" s="56">
        <f t="shared" si="14"/>
        <v>9736.1954753593182</v>
      </c>
      <c r="K34" s="60">
        <f t="shared" si="7"/>
        <v>0.75</v>
      </c>
      <c r="L34" s="56">
        <f t="shared" si="8"/>
        <v>2920.8586426077954</v>
      </c>
      <c r="M34" s="60">
        <f>IF(AND(M33+'NSW Controls'!$S$11&lt;='NSW Controls'!$S$36,M33+'NSW Controls'!$S$11&gt;='NSW Controls'!$S$37),M33+'NSW Controls'!$S$11,IF(M33+'NSW Controls'!$S$11&gt;'NSW Controls'!$S$36,'NSW Controls'!$S$36,'NSW Controls'!$S$37))</f>
        <v>0.2</v>
      </c>
      <c r="N34" s="56">
        <f t="shared" si="9"/>
        <v>5348.7560000000003</v>
      </c>
      <c r="O34" s="59">
        <f>IF(AND(O33+'NSW Controls'!$V$11&lt;='NSW Controls'!$V$36,O33+'NSW Controls'!$V$11&gt;='NSW Controls'!$V$37),O33+'NSW Controls'!$V$11,IF(O33+'NSW Controls'!$V$11&gt;'NSW Controls'!$V$36,'NSW Controls'!$V$36,'NSW Controls'!$V$37))</f>
        <v>8.5</v>
      </c>
      <c r="P34" s="56">
        <f t="shared" si="10"/>
        <v>2998.0350000000003</v>
      </c>
      <c r="Q34" s="58">
        <f t="shared" si="11"/>
        <v>385137.55589640554</v>
      </c>
      <c r="R34" s="25"/>
      <c r="S34" s="25"/>
      <c r="T34" s="25"/>
      <c r="U34" s="20">
        <f t="shared" si="16"/>
        <v>14.562183020290053</v>
      </c>
      <c r="X34" s="141">
        <f t="shared" si="4"/>
        <v>2031</v>
      </c>
      <c r="Y34" s="57">
        <f t="shared" si="5"/>
        <v>14.562183020290053</v>
      </c>
      <c r="Z34" s="25"/>
    </row>
    <row r="35" spans="1:26" x14ac:dyDescent="0.15">
      <c r="A35" s="3">
        <f t="shared" si="6"/>
        <v>2032</v>
      </c>
      <c r="B35" s="3">
        <v>2032</v>
      </c>
      <c r="D35" s="61">
        <v>2032</v>
      </c>
      <c r="E35" s="56">
        <f>'NSW Projections data for calcs'!B31</f>
        <v>35527</v>
      </c>
      <c r="F35" s="56">
        <f>'NSW Projections data for calcs'!C31</f>
        <v>2679892</v>
      </c>
      <c r="G35" s="59">
        <f t="shared" si="15"/>
        <v>14.371383469796751</v>
      </c>
      <c r="H35" s="56">
        <f t="shared" si="13"/>
        <v>385137.55589640554</v>
      </c>
      <c r="I35" s="60">
        <f>IF(AND(I34+'NSW Controls'!$P$11&lt;='NSW Controls'!$P$36,I34+'NSW Controls'!$P$11&gt;='NSW Controls'!$P$37),I34+'NSW Controls'!$P$11,IF(I34+'NSW Controls'!$P$11&gt;'NSW Controls'!$P$36,'NSW Controls'!$P$36,'NSW Controls'!$P$37))</f>
        <v>2.5</v>
      </c>
      <c r="J35" s="56">
        <f t="shared" si="14"/>
        <v>9628.4388974101385</v>
      </c>
      <c r="K35" s="60">
        <f t="shared" si="7"/>
        <v>0.75</v>
      </c>
      <c r="L35" s="56">
        <f t="shared" si="8"/>
        <v>2888.5316692230413</v>
      </c>
      <c r="M35" s="60">
        <f>IF(AND(M34+'NSW Controls'!$S$11&lt;='NSW Controls'!$S$36,M34+'NSW Controls'!$S$11&gt;='NSW Controls'!$S$37),M34+'NSW Controls'!$S$11,IF(M34+'NSW Controls'!$S$11&gt;'NSW Controls'!$S$36,'NSW Controls'!$S$36,'NSW Controls'!$S$37))</f>
        <v>0.2</v>
      </c>
      <c r="N35" s="56">
        <f t="shared" si="9"/>
        <v>5359.7840000000006</v>
      </c>
      <c r="O35" s="59">
        <f>IF(AND(O34+'NSW Controls'!$V$11&lt;='NSW Controls'!$V$36,O34+'NSW Controls'!$V$11&gt;='NSW Controls'!$V$37),O34+'NSW Controls'!$V$11,IF(O34+'NSW Controls'!$V$11&gt;'NSW Controls'!$V$36,'NSW Controls'!$V$36,'NSW Controls'!$V$37))</f>
        <v>8.5</v>
      </c>
      <c r="P35" s="56">
        <f t="shared" si="10"/>
        <v>3019.7950000000001</v>
      </c>
      <c r="Q35" s="58">
        <f t="shared" si="11"/>
        <v>381000.16432977235</v>
      </c>
      <c r="R35" s="25"/>
      <c r="S35" s="25"/>
      <c r="T35" s="25"/>
      <c r="U35" s="20">
        <f t="shared" si="16"/>
        <v>14.371383469796751</v>
      </c>
      <c r="X35" s="141">
        <f t="shared" si="4"/>
        <v>2032</v>
      </c>
      <c r="Y35" s="57">
        <f t="shared" si="5"/>
        <v>14.371383469796751</v>
      </c>
      <c r="Z35" s="25"/>
    </row>
    <row r="36" spans="1:26" x14ac:dyDescent="0.15">
      <c r="A36" s="3">
        <f t="shared" si="6"/>
        <v>2033</v>
      </c>
      <c r="B36" s="3">
        <v>2033</v>
      </c>
      <c r="D36" s="61">
        <v>2033</v>
      </c>
      <c r="E36" s="56">
        <f>'NSW Projections data for calcs'!B32</f>
        <v>35770</v>
      </c>
      <c r="F36" s="56">
        <f>'NSW Projections data for calcs'!C32</f>
        <v>2685097</v>
      </c>
      <c r="G36" s="59">
        <f t="shared" si="15"/>
        <v>14.189437637812427</v>
      </c>
      <c r="H36" s="56">
        <f t="shared" si="13"/>
        <v>381000.16432977235</v>
      </c>
      <c r="I36" s="60">
        <f>IF(AND(I35+'NSW Controls'!$P$11&lt;='NSW Controls'!$P$36,I35+'NSW Controls'!$P$11&gt;='NSW Controls'!$P$37),I35+'NSW Controls'!$P$11,IF(I35+'NSW Controls'!$P$11&gt;'NSW Controls'!$P$36,'NSW Controls'!$P$36,'NSW Controls'!$P$37))</f>
        <v>2.5</v>
      </c>
      <c r="J36" s="56">
        <f t="shared" si="14"/>
        <v>9525.0041082443095</v>
      </c>
      <c r="K36" s="60">
        <f t="shared" si="7"/>
        <v>0.75</v>
      </c>
      <c r="L36" s="56">
        <f t="shared" si="8"/>
        <v>2857.5012324732925</v>
      </c>
      <c r="M36" s="60">
        <f>IF(AND(M35+'NSW Controls'!$S$11&lt;='NSW Controls'!$S$36,M35+'NSW Controls'!$S$11&gt;='NSW Controls'!$S$37),M35+'NSW Controls'!$S$11,IF(M35+'NSW Controls'!$S$11&gt;'NSW Controls'!$S$36,'NSW Controls'!$S$36,'NSW Controls'!$S$37))</f>
        <v>0.2</v>
      </c>
      <c r="N36" s="56">
        <f t="shared" si="9"/>
        <v>5370.1940000000004</v>
      </c>
      <c r="O36" s="59">
        <f>IF(AND(O35+'NSW Controls'!$V$11&lt;='NSW Controls'!$V$36,O35+'NSW Controls'!$V$11&gt;='NSW Controls'!$V$37),O35+'NSW Controls'!$V$11,IF(O35+'NSW Controls'!$V$11&gt;'NSW Controls'!$V$36,'NSW Controls'!$V$36,'NSW Controls'!$V$37))</f>
        <v>8.5</v>
      </c>
      <c r="P36" s="56">
        <f t="shared" si="10"/>
        <v>3040.4500000000003</v>
      </c>
      <c r="Q36" s="58">
        <f t="shared" si="11"/>
        <v>377028.30298905476</v>
      </c>
      <c r="R36" s="25"/>
      <c r="S36" s="25"/>
      <c r="T36" s="25"/>
      <c r="U36" s="20">
        <f t="shared" si="16"/>
        <v>14.189437637812427</v>
      </c>
      <c r="X36" s="141">
        <f t="shared" si="4"/>
        <v>2033</v>
      </c>
      <c r="Y36" s="57">
        <f t="shared" si="5"/>
        <v>14.189437637812427</v>
      </c>
      <c r="Z36" s="25"/>
    </row>
    <row r="37" spans="1:26" x14ac:dyDescent="0.15">
      <c r="A37" s="3">
        <f t="shared" si="6"/>
        <v>2034</v>
      </c>
      <c r="B37" s="3">
        <v>2034</v>
      </c>
      <c r="D37" s="61">
        <v>2034</v>
      </c>
      <c r="E37" s="56">
        <f>'NSW Projections data for calcs'!B33</f>
        <v>36080</v>
      </c>
      <c r="F37" s="56">
        <f>'NSW Projections data for calcs'!C33</f>
        <v>2689943</v>
      </c>
      <c r="G37" s="59">
        <f t="shared" si="15"/>
        <v>14.016219042152745</v>
      </c>
      <c r="H37" s="56">
        <f t="shared" si="13"/>
        <v>377028.30298905476</v>
      </c>
      <c r="I37" s="60">
        <f>IF(AND(I36+'NSW Controls'!$P$11&lt;='NSW Controls'!$P$36,I36+'NSW Controls'!$P$11&gt;='NSW Controls'!$P$37),I36+'NSW Controls'!$P$11,IF(I36+'NSW Controls'!$P$11&gt;'NSW Controls'!$P$36,'NSW Controls'!$P$36,'NSW Controls'!$P$37))</f>
        <v>2.5</v>
      </c>
      <c r="J37" s="56">
        <f t="shared" si="14"/>
        <v>9425.7075747263698</v>
      </c>
      <c r="K37" s="60">
        <f t="shared" si="7"/>
        <v>0.75</v>
      </c>
      <c r="L37" s="56">
        <f t="shared" si="8"/>
        <v>2827.7122724179108</v>
      </c>
      <c r="M37" s="60">
        <f>IF(AND(M36+'NSW Controls'!$S$11&lt;='NSW Controls'!$S$36,M36+'NSW Controls'!$S$11&gt;='NSW Controls'!$S$37),M36+'NSW Controls'!$S$11,IF(M36+'NSW Controls'!$S$11&gt;'NSW Controls'!$S$36,'NSW Controls'!$S$36,'NSW Controls'!$S$37))</f>
        <v>0.2</v>
      </c>
      <c r="N37" s="56">
        <f t="shared" si="9"/>
        <v>5379.8860000000004</v>
      </c>
      <c r="O37" s="59">
        <f>IF(AND(O36+'NSW Controls'!$V$11&lt;='NSW Controls'!$V$36,O36+'NSW Controls'!$V$11&gt;='NSW Controls'!$V$37),O36+'NSW Controls'!$V$11,IF(O36+'NSW Controls'!$V$11&gt;'NSW Controls'!$V$36,'NSW Controls'!$V$36,'NSW Controls'!$V$37))</f>
        <v>8.5</v>
      </c>
      <c r="P37" s="56">
        <f t="shared" si="10"/>
        <v>3066.8</v>
      </c>
      <c r="Q37" s="58">
        <f t="shared" si="11"/>
        <v>373221.56914191047</v>
      </c>
      <c r="R37" s="25"/>
      <c r="S37" s="25"/>
      <c r="T37" s="25"/>
      <c r="U37" s="20">
        <f t="shared" si="16"/>
        <v>14.016219042152745</v>
      </c>
      <c r="X37" s="141">
        <f t="shared" si="4"/>
        <v>2034</v>
      </c>
      <c r="Y37" s="57">
        <f t="shared" si="5"/>
        <v>14.016219042152745</v>
      </c>
      <c r="Z37" s="25"/>
    </row>
    <row r="38" spans="1:26" x14ac:dyDescent="0.15">
      <c r="A38" s="3">
        <f t="shared" si="6"/>
        <v>2035</v>
      </c>
      <c r="B38" s="3">
        <v>2035</v>
      </c>
      <c r="D38" s="61">
        <v>2035</v>
      </c>
      <c r="E38" s="56">
        <f>'NSW Projections data for calcs'!B34</f>
        <v>36378</v>
      </c>
      <c r="F38" s="56">
        <f>'NSW Projections data for calcs'!C34</f>
        <v>2694618</v>
      </c>
      <c r="G38" s="59">
        <f>Q37/F38*100</f>
        <v>13.850630001800274</v>
      </c>
      <c r="H38" s="56">
        <f t="shared" si="13"/>
        <v>373221.56914191047</v>
      </c>
      <c r="I38" s="60">
        <f>IF(AND(I37+'NSW Controls'!$P$11&lt;='NSW Controls'!$P$36,I37+'NSW Controls'!$P$11&gt;='NSW Controls'!$P$37),I37+'NSW Controls'!$P$11,IF(I37+'NSW Controls'!$P$11&gt;'NSW Controls'!$P$36,'NSW Controls'!$P$36,'NSW Controls'!$P$37))</f>
        <v>2.5</v>
      </c>
      <c r="J38" s="56">
        <f t="shared" si="14"/>
        <v>9330.5392285477628</v>
      </c>
      <c r="K38" s="60">
        <f t="shared" si="7"/>
        <v>0.75</v>
      </c>
      <c r="L38" s="56">
        <f t="shared" si="8"/>
        <v>2799.1617685643282</v>
      </c>
      <c r="M38" s="60">
        <f>IF(AND(M37+'NSW Controls'!$S$11&lt;='NSW Controls'!$S$36,M37+'NSW Controls'!$S$11&gt;='NSW Controls'!$S$37),M37+'NSW Controls'!$S$11,IF(M37+'NSW Controls'!$S$11&gt;'NSW Controls'!$S$36,'NSW Controls'!$S$36,'NSW Controls'!$S$37))</f>
        <v>0.2</v>
      </c>
      <c r="N38" s="56">
        <f t="shared" si="9"/>
        <v>5389.2359999999999</v>
      </c>
      <c r="O38" s="59">
        <f>IF(AND(O37+'NSW Controls'!$V$11&lt;='NSW Controls'!$V$36,O37+'NSW Controls'!$V$11&gt;='NSW Controls'!$V$37),O37+'NSW Controls'!$V$11,IF(O37+'NSW Controls'!$V$11&gt;'NSW Controls'!$V$36,'NSW Controls'!$V$36,'NSW Controls'!$V$37))</f>
        <v>8.5</v>
      </c>
      <c r="P38" s="56">
        <f t="shared" si="10"/>
        <v>3092.13</v>
      </c>
      <c r="Q38" s="58">
        <f t="shared" si="11"/>
        <v>369573.23414479836</v>
      </c>
      <c r="R38" s="25"/>
      <c r="S38" s="25"/>
      <c r="T38" s="25"/>
      <c r="U38" s="20">
        <f t="shared" si="16"/>
        <v>13.850630001800274</v>
      </c>
      <c r="X38" s="141">
        <f t="shared" si="4"/>
        <v>2035</v>
      </c>
      <c r="Y38" s="57">
        <f t="shared" si="5"/>
        <v>13.850630001800274</v>
      </c>
      <c r="Z38" s="25"/>
    </row>
    <row r="39" spans="1:26" x14ac:dyDescent="0.15">
      <c r="A39" s="3">
        <f t="shared" si="6"/>
        <v>2036</v>
      </c>
      <c r="B39" s="3">
        <v>2036</v>
      </c>
      <c r="D39" s="61">
        <v>2036</v>
      </c>
      <c r="E39" s="56">
        <f>'NSW Projections data for calcs'!B35</f>
        <v>36660</v>
      </c>
      <c r="F39" s="56">
        <f>'NSW Projections data for calcs'!C35</f>
        <v>2699210</v>
      </c>
      <c r="G39" s="59">
        <f t="shared" si="15"/>
        <v>13.691903710522649</v>
      </c>
      <c r="H39" s="56">
        <f t="shared" si="13"/>
        <v>369573.23414479836</v>
      </c>
      <c r="I39" s="60">
        <f>IF(AND(I38+'NSW Controls'!$P$11&lt;='NSW Controls'!$P$36,I38+'NSW Controls'!$P$11&gt;='NSW Controls'!$P$37),I38+'NSW Controls'!$P$11,IF(I38+'NSW Controls'!$P$11&gt;'NSW Controls'!$P$36,'NSW Controls'!$P$36,'NSW Controls'!$P$37))</f>
        <v>2.5</v>
      </c>
      <c r="J39" s="56">
        <f t="shared" si="14"/>
        <v>9239.3308536199602</v>
      </c>
      <c r="K39" s="60">
        <f t="shared" si="7"/>
        <v>0.75</v>
      </c>
      <c r="L39" s="56">
        <f t="shared" si="8"/>
        <v>2771.7992560859875</v>
      </c>
      <c r="M39" s="60">
        <f>IF(AND(M38+'NSW Controls'!$S$11&lt;='NSW Controls'!$S$36,M38+'NSW Controls'!$S$11&gt;='NSW Controls'!$S$37),M38+'NSW Controls'!$S$11,IF(M38+'NSW Controls'!$S$11&gt;'NSW Controls'!$S$36,'NSW Controls'!$S$36,'NSW Controls'!$S$37))</f>
        <v>0.2</v>
      </c>
      <c r="N39" s="56">
        <f t="shared" si="9"/>
        <v>5398.42</v>
      </c>
      <c r="O39" s="59">
        <f>IF(AND(O38+'NSW Controls'!$V$11&lt;='NSW Controls'!$V$36,O38+'NSW Controls'!$V$11&gt;='NSW Controls'!$V$37),O38+'NSW Controls'!$V$11,IF(O38+'NSW Controls'!$V$11&gt;'NSW Controls'!$V$36,'NSW Controls'!$V$36,'NSW Controls'!$V$37))</f>
        <v>8.5</v>
      </c>
      <c r="P39" s="56">
        <f t="shared" si="10"/>
        <v>3116.1000000000004</v>
      </c>
      <c r="Q39" s="58">
        <f t="shared" si="11"/>
        <v>366076.62403509236</v>
      </c>
      <c r="R39" s="25"/>
      <c r="S39" s="25"/>
      <c r="T39" s="25"/>
      <c r="U39" s="20">
        <f>G39</f>
        <v>13.691903710522649</v>
      </c>
      <c r="X39" s="141">
        <f t="shared" si="4"/>
        <v>2036</v>
      </c>
      <c r="Y39" s="57">
        <f t="shared" si="5"/>
        <v>13.691903710522649</v>
      </c>
      <c r="Z39" s="25"/>
    </row>
    <row r="40" spans="1:26" x14ac:dyDescent="0.15">
      <c r="A40" s="3">
        <f t="shared" si="6"/>
        <v>2037</v>
      </c>
      <c r="B40" s="3">
        <v>2037</v>
      </c>
      <c r="D40" s="61">
        <v>2037</v>
      </c>
      <c r="E40" s="56">
        <f>'NSW Projections data for calcs'!B36</f>
        <v>36943</v>
      </c>
      <c r="F40" s="56">
        <f>'NSW Projections data for calcs'!C36</f>
        <v>2703757</v>
      </c>
      <c r="G40" s="59">
        <f>Q39/F40*100</f>
        <v>13.539553444895096</v>
      </c>
      <c r="H40" s="56">
        <f t="shared" si="13"/>
        <v>366076.62403509236</v>
      </c>
      <c r="I40" s="60">
        <f>IF(AND(I39+'NSW Controls'!$P$11&lt;='NSW Controls'!$P$36,I39+'NSW Controls'!$P$11&gt;='NSW Controls'!$P$37),I39+'NSW Controls'!$P$11,IF(I39+'NSW Controls'!$P$11&gt;'NSW Controls'!$P$36,'NSW Controls'!$P$36,'NSW Controls'!$P$37))</f>
        <v>2.5</v>
      </c>
      <c r="J40" s="56">
        <f t="shared" si="14"/>
        <v>9151.9156008773098</v>
      </c>
      <c r="K40" s="60">
        <f t="shared" si="7"/>
        <v>0.75</v>
      </c>
      <c r="L40" s="56">
        <f t="shared" si="8"/>
        <v>2745.5746802631925</v>
      </c>
      <c r="M40" s="60">
        <f>IF(AND(M39+'NSW Controls'!$S$11&lt;='NSW Controls'!$S$36,M39+'NSW Controls'!$S$11&gt;='NSW Controls'!$S$37),M39+'NSW Controls'!$S$11,IF(M39+'NSW Controls'!$S$11&gt;'NSW Controls'!$S$36,'NSW Controls'!$S$36,'NSW Controls'!$S$37))</f>
        <v>0.2</v>
      </c>
      <c r="N40" s="56">
        <f t="shared" si="9"/>
        <v>5407.5140000000001</v>
      </c>
      <c r="O40" s="59">
        <f>IF(AND(O39+'NSW Controls'!$V$11&lt;='NSW Controls'!$V$36,O39+'NSW Controls'!$V$11&gt;='NSW Controls'!$V$37),O39+'NSW Controls'!$V$11,IF(O39+'NSW Controls'!$V$11&gt;'NSW Controls'!$V$36,'NSW Controls'!$V$36,'NSW Controls'!$V$37))</f>
        <v>8.5</v>
      </c>
      <c r="P40" s="56">
        <f t="shared" si="10"/>
        <v>3140.1550000000002</v>
      </c>
      <c r="Q40" s="58">
        <f t="shared" si="11"/>
        <v>362726.80275395192</v>
      </c>
      <c r="R40" s="25"/>
      <c r="S40" s="25"/>
      <c r="T40" s="25"/>
      <c r="U40" s="20">
        <f>G40</f>
        <v>13.539553444895096</v>
      </c>
      <c r="X40" s="141">
        <f t="shared" si="4"/>
        <v>2037</v>
      </c>
      <c r="Y40" s="57">
        <f t="shared" si="5"/>
        <v>13.539553444895096</v>
      </c>
      <c r="Z40" s="25"/>
    </row>
    <row r="41" spans="1:26" x14ac:dyDescent="0.15">
      <c r="A41" s="3">
        <f t="shared" si="6"/>
        <v>2038</v>
      </c>
      <c r="B41" s="3">
        <v>2038</v>
      </c>
      <c r="D41" s="61">
        <v>2038</v>
      </c>
      <c r="E41" s="56">
        <f>'NSW Projections data for calcs'!B37</f>
        <v>37086</v>
      </c>
      <c r="F41" s="56">
        <f>'NSW Projections data for calcs'!C37</f>
        <v>2708294</v>
      </c>
      <c r="G41" s="59">
        <f>Q40/F41*100</f>
        <v>13.393184150389578</v>
      </c>
      <c r="H41" s="56">
        <f t="shared" si="13"/>
        <v>362726.80275395192</v>
      </c>
      <c r="I41" s="60">
        <f>IF(AND(I40+'NSW Controls'!$P$11&lt;='NSW Controls'!$P$36,I40+'NSW Controls'!$P$11&gt;='NSW Controls'!$P$37),I40+'NSW Controls'!$P$11,IF(I40+'NSW Controls'!$P$11&gt;'NSW Controls'!$P$36,'NSW Controls'!$P$36,'NSW Controls'!$P$37))</f>
        <v>2.5</v>
      </c>
      <c r="J41" s="56">
        <f t="shared" si="14"/>
        <v>9068.1700688487981</v>
      </c>
      <c r="K41" s="60">
        <f t="shared" si="7"/>
        <v>0.75</v>
      </c>
      <c r="L41" s="56">
        <f t="shared" si="8"/>
        <v>2720.4510206546393</v>
      </c>
      <c r="M41" s="60">
        <f>IF(AND(M40+'NSW Controls'!$S$11&lt;='NSW Controls'!$S$36,M40+'NSW Controls'!$S$11&gt;='NSW Controls'!$S$37),M40+'NSW Controls'!$S$11,IF(M40+'NSW Controls'!$S$11&gt;'NSW Controls'!$S$36,'NSW Controls'!$S$36,'NSW Controls'!$S$37))</f>
        <v>0.2</v>
      </c>
      <c r="N41" s="56">
        <f t="shared" si="9"/>
        <v>5416.5879999999997</v>
      </c>
      <c r="O41" s="59">
        <f>IF(AND(O40+'NSW Controls'!$V$11&lt;='NSW Controls'!$V$36,O40+'NSW Controls'!$V$11&gt;='NSW Controls'!$V$37),O40+'NSW Controls'!$V$11,IF(O40+'NSW Controls'!$V$11&gt;'NSW Controls'!$V$36,'NSW Controls'!$V$36,'NSW Controls'!$V$37))</f>
        <v>8.5</v>
      </c>
      <c r="P41" s="56">
        <f t="shared" si="10"/>
        <v>3152.3100000000004</v>
      </c>
      <c r="Q41" s="58">
        <f t="shared" si="11"/>
        <v>359507.07966444845</v>
      </c>
      <c r="R41" s="25"/>
      <c r="S41" s="25"/>
      <c r="T41" s="25"/>
      <c r="U41" s="20">
        <f t="shared" ref="U41:U42" si="17">G41</f>
        <v>13.393184150389578</v>
      </c>
      <c r="X41" s="141">
        <f t="shared" si="4"/>
        <v>2038</v>
      </c>
      <c r="Y41" s="57">
        <f t="shared" si="5"/>
        <v>13.393184150389578</v>
      </c>
      <c r="Z41" s="25"/>
    </row>
    <row r="42" spans="1:26" x14ac:dyDescent="0.15">
      <c r="A42" s="3">
        <f t="shared" si="6"/>
        <v>2039</v>
      </c>
      <c r="B42" s="3">
        <v>2039</v>
      </c>
      <c r="D42" s="61">
        <v>2039</v>
      </c>
      <c r="E42" s="56">
        <f>'NSW Projections data for calcs'!B38</f>
        <v>37078</v>
      </c>
      <c r="F42" s="56">
        <f>'NSW Projections data for calcs'!C38</f>
        <v>2712678</v>
      </c>
      <c r="G42" s="59">
        <f>Q41/F42*100</f>
        <v>13.252847542703131</v>
      </c>
      <c r="H42" s="56">
        <f>Q41</f>
        <v>359507.07966444845</v>
      </c>
      <c r="I42" s="60">
        <f>IF(AND(I41+'NSW Controls'!$P$11&lt;='NSW Controls'!$P$36,I41+'NSW Controls'!$P$11&gt;='NSW Controls'!$P$37),I41+'NSW Controls'!$P$11,IF(I41+'NSW Controls'!$P$11&gt;'NSW Controls'!$P$36,'NSW Controls'!$P$36,'NSW Controls'!$P$37))</f>
        <v>2.5</v>
      </c>
      <c r="J42" s="56">
        <f t="shared" si="14"/>
        <v>8987.6769916112116</v>
      </c>
      <c r="K42" s="60">
        <f t="shared" si="7"/>
        <v>0.75</v>
      </c>
      <c r="L42" s="56">
        <f t="shared" si="8"/>
        <v>2696.3030974833632</v>
      </c>
      <c r="M42" s="60">
        <f>IF(AND(M41+'NSW Controls'!$S$11&lt;='NSW Controls'!$S$36,M41+'NSW Controls'!$S$11&gt;='NSW Controls'!$S$37),M41+'NSW Controls'!$S$11,IF(M41+'NSW Controls'!$S$11&gt;'NSW Controls'!$S$36,'NSW Controls'!$S$36,'NSW Controls'!$S$37))</f>
        <v>0.2</v>
      </c>
      <c r="N42" s="56">
        <f t="shared" si="9"/>
        <v>5425.3559999999998</v>
      </c>
      <c r="O42" s="59">
        <f>IF(AND(O41+'NSW Controls'!$V$11&lt;='NSW Controls'!$V$36,O41+'NSW Controls'!$V$11&gt;='NSW Controls'!$V$37),O41+'NSW Controls'!$V$11,IF(O41+'NSW Controls'!$V$11&gt;'NSW Controls'!$V$36,'NSW Controls'!$V$36,'NSW Controls'!$V$37))</f>
        <v>8.5</v>
      </c>
      <c r="P42" s="56">
        <f t="shared" si="10"/>
        <v>3151.63</v>
      </c>
      <c r="Q42" s="58">
        <f t="shared" si="11"/>
        <v>356400.08557535394</v>
      </c>
      <c r="R42" s="25"/>
      <c r="S42" s="25"/>
      <c r="T42" s="25"/>
      <c r="U42" s="20">
        <f t="shared" si="17"/>
        <v>13.252847542703131</v>
      </c>
      <c r="X42" s="141">
        <f t="shared" si="4"/>
        <v>2039</v>
      </c>
      <c r="Y42" s="57">
        <f t="shared" si="5"/>
        <v>13.252847542703131</v>
      </c>
      <c r="Z42" s="25"/>
    </row>
    <row r="44" spans="1:26" x14ac:dyDescent="0.15">
      <c r="U44" s="55"/>
      <c r="X44" s="49" t="s">
        <v>290</v>
      </c>
    </row>
    <row r="45" spans="1:26" x14ac:dyDescent="0.15">
      <c r="U45" s="55"/>
      <c r="X45" s="139">
        <f>INDEX($X$8:$X$42,MATCH(TRUE,INDEX($X$8:$X$42&lt;&gt;"",),))</f>
        <v>2025</v>
      </c>
    </row>
    <row r="46" spans="1:26" x14ac:dyDescent="0.15">
      <c r="D46" s="129"/>
      <c r="E46" s="2"/>
      <c r="F46" s="2"/>
      <c r="G46" s="2"/>
      <c r="H46" s="2"/>
      <c r="I46" s="2"/>
      <c r="J46" s="2"/>
      <c r="K46" s="2"/>
      <c r="L46" s="2"/>
      <c r="M46" s="2"/>
      <c r="N46" s="2"/>
      <c r="O46" s="2"/>
      <c r="P46" s="2"/>
      <c r="Q46" s="2"/>
      <c r="U46" s="55"/>
      <c r="X46" s="139">
        <f>IFERROR(X45,"Target not met")</f>
        <v>2025</v>
      </c>
    </row>
    <row r="47" spans="1:26" x14ac:dyDescent="0.15">
      <c r="D47" s="2"/>
      <c r="E47" s="2"/>
      <c r="F47" s="2"/>
      <c r="G47" s="2"/>
      <c r="H47" s="2"/>
      <c r="I47" s="2"/>
      <c r="J47" s="2"/>
      <c r="K47" s="2"/>
      <c r="L47" s="2"/>
      <c r="M47" s="2"/>
      <c r="N47" s="2"/>
      <c r="O47" s="2"/>
      <c r="P47" s="2"/>
      <c r="Q47" s="2"/>
      <c r="U47" s="55"/>
    </row>
    <row r="48" spans="1:26" x14ac:dyDescent="0.15">
      <c r="D48" s="129"/>
      <c r="E48" s="2"/>
      <c r="F48" s="2"/>
      <c r="G48" s="2"/>
      <c r="H48" s="2"/>
      <c r="I48" s="2"/>
      <c r="J48" s="2"/>
      <c r="K48" s="2"/>
      <c r="L48" s="2"/>
      <c r="M48" s="2"/>
      <c r="N48" s="2"/>
      <c r="O48" s="2"/>
      <c r="P48" s="2"/>
      <c r="Q48" s="2"/>
      <c r="U48" s="55"/>
    </row>
    <row r="49" spans="4:21" x14ac:dyDescent="0.15">
      <c r="D49" s="2"/>
      <c r="E49" s="2"/>
      <c r="F49" s="2"/>
      <c r="G49" s="2"/>
      <c r="H49" s="2"/>
      <c r="I49" s="2"/>
      <c r="J49" s="2"/>
      <c r="K49" s="2"/>
      <c r="L49" s="2"/>
      <c r="M49" s="2"/>
      <c r="N49" s="2"/>
      <c r="O49" s="2"/>
      <c r="P49" s="2"/>
      <c r="Q49" s="2"/>
      <c r="U49" s="55"/>
    </row>
    <row r="50" spans="4:21" x14ac:dyDescent="0.15">
      <c r="D50" s="53"/>
      <c r="E50" s="204"/>
      <c r="F50" s="204"/>
      <c r="G50" s="2"/>
      <c r="H50" s="2"/>
      <c r="I50" s="130"/>
      <c r="J50" s="130"/>
      <c r="K50" s="130"/>
      <c r="L50" s="130"/>
      <c r="M50" s="2"/>
      <c r="N50" s="2"/>
      <c r="O50" s="2"/>
      <c r="P50" s="2"/>
      <c r="Q50" s="2"/>
      <c r="U50" s="55"/>
    </row>
    <row r="51" spans="4:21" x14ac:dyDescent="0.15">
      <c r="D51" s="53"/>
      <c r="E51" s="2"/>
      <c r="F51" s="2"/>
      <c r="G51" s="2"/>
      <c r="H51" s="2"/>
      <c r="I51" s="131"/>
      <c r="J51" s="131"/>
      <c r="K51" s="132"/>
      <c r="L51" s="132"/>
      <c r="M51" s="2"/>
      <c r="N51" s="2"/>
      <c r="O51" s="2"/>
      <c r="P51" s="2"/>
      <c r="Q51" s="2"/>
      <c r="U51" s="55"/>
    </row>
    <row r="52" spans="4:21" x14ac:dyDescent="0.15">
      <c r="D52" s="53"/>
      <c r="E52" s="2"/>
      <c r="F52" s="2"/>
      <c r="G52" s="2"/>
      <c r="H52" s="2"/>
      <c r="I52" s="131"/>
      <c r="J52" s="131"/>
      <c r="K52" s="132"/>
      <c r="L52" s="132"/>
      <c r="M52" s="2"/>
      <c r="N52" s="2"/>
      <c r="O52" s="2"/>
      <c r="P52" s="2"/>
      <c r="Q52" s="2"/>
      <c r="U52" s="55"/>
    </row>
    <row r="53" spans="4:21" x14ac:dyDescent="0.15">
      <c r="D53" s="53"/>
      <c r="E53" s="2"/>
      <c r="F53" s="2"/>
      <c r="G53" s="2"/>
      <c r="H53" s="2"/>
      <c r="I53" s="131"/>
      <c r="J53" s="131"/>
      <c r="K53" s="132"/>
      <c r="L53" s="132"/>
      <c r="M53" s="2"/>
      <c r="N53" s="2"/>
      <c r="O53" s="2"/>
      <c r="P53" s="2"/>
      <c r="Q53" s="2"/>
      <c r="U53" s="55"/>
    </row>
    <row r="54" spans="4:21" x14ac:dyDescent="0.15">
      <c r="D54" s="53"/>
      <c r="E54" s="2"/>
      <c r="F54" s="2"/>
      <c r="G54" s="2"/>
      <c r="H54" s="2"/>
      <c r="I54" s="131"/>
      <c r="J54" s="131"/>
      <c r="K54" s="132"/>
      <c r="L54" s="132"/>
      <c r="M54" s="2"/>
      <c r="N54" s="2"/>
      <c r="O54" s="2"/>
      <c r="P54" s="2"/>
      <c r="Q54" s="2"/>
      <c r="U54" s="55"/>
    </row>
    <row r="55" spans="4:21" x14ac:dyDescent="0.15">
      <c r="D55" s="53"/>
      <c r="E55" s="2"/>
      <c r="F55" s="2"/>
      <c r="G55" s="2"/>
      <c r="H55" s="2"/>
      <c r="I55" s="131"/>
      <c r="J55" s="131"/>
      <c r="K55" s="132"/>
      <c r="L55" s="132"/>
      <c r="M55" s="2"/>
      <c r="N55" s="2"/>
      <c r="O55" s="2"/>
      <c r="P55" s="2"/>
      <c r="Q55" s="2"/>
    </row>
    <row r="56" spans="4:21" x14ac:dyDescent="0.15">
      <c r="D56" s="53"/>
      <c r="E56" s="2"/>
      <c r="F56" s="2"/>
      <c r="G56" s="2"/>
      <c r="H56" s="2"/>
      <c r="I56" s="131"/>
      <c r="J56" s="131"/>
      <c r="K56" s="132"/>
      <c r="L56" s="132"/>
      <c r="M56" s="2"/>
      <c r="N56" s="2"/>
      <c r="O56" s="2"/>
      <c r="P56" s="2"/>
      <c r="Q56" s="2"/>
    </row>
    <row r="57" spans="4:21" x14ac:dyDescent="0.15">
      <c r="D57" s="53"/>
      <c r="E57" s="2"/>
      <c r="F57" s="2"/>
      <c r="G57" s="2"/>
      <c r="H57" s="2"/>
      <c r="I57" s="131"/>
      <c r="J57" s="131"/>
      <c r="K57" s="132"/>
      <c r="L57" s="132"/>
      <c r="M57" s="2"/>
      <c r="N57" s="2"/>
      <c r="O57" s="2"/>
      <c r="P57" s="2"/>
      <c r="Q57" s="2"/>
    </row>
    <row r="58" spans="4:21" x14ac:dyDescent="0.15">
      <c r="D58" s="53"/>
      <c r="E58" s="2"/>
      <c r="F58" s="2"/>
      <c r="G58" s="2"/>
      <c r="H58" s="2"/>
      <c r="I58" s="131"/>
      <c r="J58" s="131"/>
      <c r="K58" s="132"/>
      <c r="L58" s="132"/>
      <c r="M58" s="2"/>
      <c r="N58" s="2"/>
      <c r="O58" s="2"/>
      <c r="P58" s="2"/>
      <c r="Q58" s="2"/>
    </row>
    <row r="59" spans="4:21" x14ac:dyDescent="0.15">
      <c r="D59" s="53"/>
      <c r="E59" s="2"/>
      <c r="F59" s="2"/>
      <c r="G59" s="2"/>
      <c r="H59" s="2"/>
      <c r="I59" s="131"/>
      <c r="J59" s="131"/>
      <c r="K59" s="132"/>
      <c r="L59" s="132"/>
      <c r="M59" s="2"/>
      <c r="N59" s="2"/>
      <c r="O59" s="2"/>
      <c r="P59" s="2"/>
      <c r="Q59" s="2"/>
    </row>
    <row r="60" spans="4:21" x14ac:dyDescent="0.15">
      <c r="D60" s="53"/>
      <c r="E60" s="2"/>
      <c r="F60" s="2"/>
      <c r="G60" s="2"/>
      <c r="H60" s="2"/>
      <c r="I60" s="131"/>
      <c r="J60" s="131"/>
      <c r="K60" s="132"/>
      <c r="L60" s="132"/>
      <c r="M60" s="2"/>
      <c r="N60" s="2"/>
      <c r="O60" s="2"/>
      <c r="P60" s="2"/>
      <c r="Q60" s="2"/>
    </row>
    <row r="61" spans="4:21" x14ac:dyDescent="0.15">
      <c r="D61" s="53"/>
      <c r="E61" s="2"/>
      <c r="F61" s="2"/>
      <c r="G61" s="2"/>
      <c r="H61" s="2"/>
      <c r="I61" s="131"/>
      <c r="J61" s="131"/>
      <c r="K61" s="132"/>
      <c r="L61" s="132"/>
      <c r="M61" s="2"/>
      <c r="N61" s="2"/>
      <c r="O61" s="2"/>
      <c r="P61" s="2"/>
      <c r="Q61" s="2"/>
    </row>
    <row r="62" spans="4:21" x14ac:dyDescent="0.15">
      <c r="D62" s="53"/>
      <c r="E62" s="2"/>
      <c r="F62" s="2"/>
      <c r="G62" s="2"/>
      <c r="H62" s="2"/>
      <c r="I62" s="131"/>
      <c r="J62" s="131"/>
      <c r="K62" s="132"/>
      <c r="L62" s="132"/>
      <c r="M62" s="2"/>
      <c r="N62" s="2"/>
      <c r="O62" s="2"/>
      <c r="P62" s="2"/>
      <c r="Q62" s="2"/>
    </row>
    <row r="63" spans="4:21" x14ac:dyDescent="0.15">
      <c r="D63" s="53"/>
      <c r="E63" s="133"/>
      <c r="F63" s="133"/>
      <c r="G63" s="2"/>
      <c r="H63" s="2"/>
      <c r="I63" s="134"/>
      <c r="J63" s="134"/>
      <c r="K63" s="135"/>
      <c r="L63" s="135"/>
      <c r="M63" s="2"/>
      <c r="N63" s="2"/>
      <c r="O63" s="2"/>
      <c r="P63" s="2"/>
      <c r="Q63" s="2"/>
    </row>
    <row r="64" spans="4:21" x14ac:dyDescent="0.15">
      <c r="D64" s="53"/>
      <c r="E64" s="133"/>
      <c r="F64" s="133"/>
      <c r="G64" s="2"/>
      <c r="H64" s="2"/>
      <c r="I64" s="134"/>
      <c r="J64" s="134"/>
      <c r="K64" s="135"/>
      <c r="L64" s="135"/>
      <c r="M64" s="2"/>
      <c r="N64" s="2"/>
      <c r="O64" s="136"/>
      <c r="P64" s="2"/>
      <c r="Q64" s="2"/>
    </row>
    <row r="65" spans="4:17" x14ac:dyDescent="0.15">
      <c r="D65" s="53"/>
      <c r="E65" s="133"/>
      <c r="F65" s="133"/>
      <c r="G65" s="2"/>
      <c r="H65" s="2"/>
      <c r="I65" s="134"/>
      <c r="J65" s="134"/>
      <c r="K65" s="135"/>
      <c r="L65" s="135"/>
      <c r="M65" s="137"/>
      <c r="N65" s="2"/>
      <c r="O65" s="136"/>
      <c r="P65" s="2"/>
      <c r="Q65" s="2"/>
    </row>
    <row r="66" spans="4:17" x14ac:dyDescent="0.15">
      <c r="D66" s="53"/>
      <c r="E66" s="133"/>
      <c r="F66" s="133"/>
      <c r="G66" s="2"/>
      <c r="H66" s="2"/>
      <c r="I66" s="134"/>
      <c r="J66" s="134"/>
      <c r="K66" s="135"/>
      <c r="L66" s="135"/>
      <c r="M66" s="137"/>
      <c r="N66" s="2"/>
      <c r="O66" s="136"/>
      <c r="P66" s="2"/>
      <c r="Q66" s="2"/>
    </row>
    <row r="67" spans="4:17" x14ac:dyDescent="0.15">
      <c r="D67" s="53"/>
      <c r="E67" s="133"/>
      <c r="F67" s="133"/>
      <c r="G67" s="2"/>
      <c r="H67" s="2"/>
      <c r="I67" s="134"/>
      <c r="J67" s="134"/>
      <c r="K67" s="135"/>
      <c r="L67" s="135"/>
      <c r="M67" s="137"/>
      <c r="N67" s="2"/>
      <c r="O67" s="136"/>
      <c r="P67" s="2"/>
      <c r="Q67" s="2"/>
    </row>
    <row r="68" spans="4:17" x14ac:dyDescent="0.15">
      <c r="D68" s="53"/>
      <c r="E68" s="133"/>
      <c r="F68" s="133"/>
      <c r="G68" s="2"/>
      <c r="H68" s="2"/>
      <c r="I68" s="134"/>
      <c r="J68" s="134"/>
      <c r="K68" s="135"/>
      <c r="L68" s="135"/>
      <c r="M68" s="137"/>
      <c r="N68" s="2"/>
      <c r="O68" s="2"/>
      <c r="P68" s="2"/>
      <c r="Q68" s="2"/>
    </row>
    <row r="69" spans="4:17" x14ac:dyDescent="0.15">
      <c r="D69" s="53"/>
      <c r="E69" s="133"/>
      <c r="F69" s="133"/>
      <c r="G69" s="2"/>
      <c r="H69" s="2"/>
      <c r="I69" s="134"/>
      <c r="J69" s="134"/>
      <c r="K69" s="135"/>
      <c r="L69" s="135"/>
      <c r="M69" s="137"/>
      <c r="N69" s="2"/>
      <c r="O69" s="2"/>
      <c r="P69" s="2"/>
      <c r="Q69" s="2"/>
    </row>
    <row r="70" spans="4:17" x14ac:dyDescent="0.15">
      <c r="D70" s="53"/>
      <c r="E70" s="133"/>
      <c r="F70" s="133"/>
      <c r="G70" s="2"/>
      <c r="H70" s="2"/>
      <c r="I70" s="134"/>
      <c r="J70" s="134"/>
      <c r="K70" s="135"/>
      <c r="L70" s="135"/>
      <c r="M70" s="137"/>
      <c r="N70" s="2"/>
      <c r="O70" s="2"/>
      <c r="P70" s="2"/>
      <c r="Q70" s="2"/>
    </row>
    <row r="71" spans="4:17" x14ac:dyDescent="0.15">
      <c r="D71" s="53"/>
      <c r="E71" s="133"/>
      <c r="F71" s="133"/>
      <c r="G71" s="2"/>
      <c r="H71" s="2"/>
      <c r="I71" s="134"/>
      <c r="J71" s="134"/>
      <c r="K71" s="135"/>
      <c r="L71" s="135"/>
      <c r="M71" s="137"/>
      <c r="N71" s="2"/>
      <c r="O71" s="2"/>
      <c r="P71" s="2"/>
      <c r="Q71" s="2"/>
    </row>
    <row r="72" spans="4:17" x14ac:dyDescent="0.15">
      <c r="D72" s="53"/>
      <c r="E72" s="133"/>
      <c r="F72" s="133"/>
      <c r="G72" s="2"/>
      <c r="H72" s="2"/>
      <c r="I72" s="134"/>
      <c r="J72" s="134"/>
      <c r="K72" s="135"/>
      <c r="L72" s="135"/>
      <c r="M72" s="137"/>
      <c r="N72" s="2"/>
      <c r="O72" s="2"/>
      <c r="P72" s="2"/>
      <c r="Q72" s="2"/>
    </row>
    <row r="73" spans="4:17" x14ac:dyDescent="0.15">
      <c r="D73" s="53"/>
      <c r="E73" s="133"/>
      <c r="F73" s="133"/>
      <c r="G73" s="2"/>
      <c r="H73" s="2"/>
      <c r="I73" s="134"/>
      <c r="J73" s="134"/>
      <c r="K73" s="135"/>
      <c r="L73" s="135"/>
      <c r="M73" s="137"/>
      <c r="N73" s="2"/>
      <c r="O73" s="2"/>
      <c r="P73" s="2"/>
      <c r="Q73" s="2"/>
    </row>
    <row r="74" spans="4:17" x14ac:dyDescent="0.15">
      <c r="D74" s="53"/>
      <c r="E74" s="133"/>
      <c r="F74" s="133"/>
      <c r="G74" s="2"/>
      <c r="H74" s="2"/>
      <c r="I74" s="134"/>
      <c r="J74" s="134"/>
      <c r="K74" s="135"/>
      <c r="L74" s="135"/>
      <c r="M74" s="137"/>
      <c r="N74" s="2"/>
      <c r="O74" s="2"/>
      <c r="P74" s="2"/>
      <c r="Q74" s="2"/>
    </row>
    <row r="75" spans="4:17" x14ac:dyDescent="0.15">
      <c r="D75" s="53"/>
      <c r="E75" s="133"/>
      <c r="F75" s="133"/>
      <c r="G75" s="2"/>
      <c r="H75" s="2"/>
      <c r="I75" s="134"/>
      <c r="J75" s="134"/>
      <c r="K75" s="135"/>
      <c r="L75" s="135"/>
      <c r="M75" s="137"/>
      <c r="N75" s="2"/>
      <c r="O75" s="2"/>
      <c r="P75" s="2"/>
      <c r="Q75" s="2"/>
    </row>
    <row r="76" spans="4:17" x14ac:dyDescent="0.15">
      <c r="D76" s="53"/>
      <c r="E76" s="133"/>
      <c r="F76" s="133"/>
      <c r="G76" s="2"/>
      <c r="H76" s="2"/>
      <c r="I76" s="134"/>
      <c r="J76" s="134"/>
      <c r="K76" s="135"/>
      <c r="L76" s="135"/>
      <c r="M76" s="137"/>
      <c r="N76" s="2"/>
      <c r="O76" s="2"/>
      <c r="P76" s="2"/>
      <c r="Q76" s="2"/>
    </row>
    <row r="77" spans="4:17" x14ac:dyDescent="0.15">
      <c r="D77" s="53"/>
      <c r="E77" s="133"/>
      <c r="F77" s="133"/>
      <c r="G77" s="2"/>
      <c r="H77" s="2"/>
      <c r="I77" s="134"/>
      <c r="J77" s="134"/>
      <c r="K77" s="135"/>
      <c r="L77" s="135"/>
      <c r="M77" s="137"/>
      <c r="N77" s="2"/>
      <c r="O77" s="2"/>
      <c r="P77" s="2"/>
      <c r="Q77" s="2"/>
    </row>
    <row r="78" spans="4:17" x14ac:dyDescent="0.15">
      <c r="D78" s="53"/>
      <c r="E78" s="133"/>
      <c r="F78" s="133"/>
      <c r="G78" s="2"/>
      <c r="H78" s="2"/>
      <c r="I78" s="134"/>
      <c r="J78" s="134"/>
      <c r="K78" s="135"/>
      <c r="L78" s="135"/>
      <c r="M78" s="137"/>
      <c r="N78" s="2"/>
      <c r="O78" s="2"/>
      <c r="P78" s="2"/>
      <c r="Q78" s="2"/>
    </row>
    <row r="79" spans="4:17" x14ac:dyDescent="0.15">
      <c r="D79" s="53"/>
      <c r="E79" s="133"/>
      <c r="F79" s="133"/>
      <c r="G79" s="2"/>
      <c r="H79" s="2"/>
      <c r="I79" s="134"/>
      <c r="J79" s="134"/>
      <c r="K79" s="135"/>
      <c r="L79" s="135"/>
      <c r="M79" s="137"/>
      <c r="N79" s="2"/>
      <c r="O79" s="2"/>
      <c r="P79" s="2"/>
      <c r="Q79" s="2"/>
    </row>
    <row r="80" spans="4:17" x14ac:dyDescent="0.15">
      <c r="D80" s="53"/>
      <c r="E80" s="133"/>
      <c r="F80" s="133"/>
      <c r="G80" s="2"/>
      <c r="H80" s="2"/>
      <c r="I80" s="134"/>
      <c r="J80" s="134"/>
      <c r="K80" s="135"/>
      <c r="L80" s="135"/>
      <c r="M80" s="137"/>
      <c r="N80" s="2"/>
      <c r="O80" s="2"/>
      <c r="P80" s="2"/>
      <c r="Q80" s="2"/>
    </row>
    <row r="81" spans="4:17" x14ac:dyDescent="0.15">
      <c r="D81" s="53"/>
      <c r="E81" s="133"/>
      <c r="F81" s="133"/>
      <c r="G81" s="2"/>
      <c r="H81" s="2"/>
      <c r="I81" s="134"/>
      <c r="J81" s="134"/>
      <c r="K81" s="135"/>
      <c r="L81" s="135"/>
      <c r="M81" s="137"/>
      <c r="N81" s="2"/>
      <c r="O81" s="2"/>
      <c r="P81" s="2"/>
      <c r="Q81" s="2"/>
    </row>
    <row r="82" spans="4:17" x14ac:dyDescent="0.15">
      <c r="D82" s="53"/>
      <c r="E82" s="133"/>
      <c r="F82" s="133"/>
      <c r="G82" s="2"/>
      <c r="H82" s="2"/>
      <c r="I82" s="134"/>
      <c r="J82" s="134"/>
      <c r="K82" s="135"/>
      <c r="L82" s="135"/>
      <c r="M82" s="137"/>
      <c r="N82" s="2"/>
      <c r="O82" s="2"/>
      <c r="P82" s="2"/>
      <c r="Q82" s="2"/>
    </row>
    <row r="83" spans="4:17" x14ac:dyDescent="0.15">
      <c r="D83" s="53"/>
      <c r="E83" s="133"/>
      <c r="F83" s="133"/>
      <c r="G83" s="2"/>
      <c r="H83" s="2"/>
      <c r="I83" s="134"/>
      <c r="J83" s="134"/>
      <c r="K83" s="135"/>
      <c r="L83" s="135"/>
      <c r="M83" s="137"/>
      <c r="N83" s="2"/>
      <c r="O83" s="2"/>
      <c r="P83" s="2"/>
      <c r="Q83" s="2"/>
    </row>
    <row r="84" spans="4:17" x14ac:dyDescent="0.15">
      <c r="D84" s="53"/>
      <c r="E84" s="133"/>
      <c r="F84" s="133"/>
      <c r="G84" s="2"/>
      <c r="H84" s="2"/>
      <c r="I84" s="134"/>
      <c r="J84" s="134"/>
      <c r="K84" s="135"/>
      <c r="L84" s="135"/>
      <c r="M84" s="137"/>
      <c r="N84" s="2"/>
      <c r="O84" s="2"/>
      <c r="P84" s="2"/>
      <c r="Q84" s="2"/>
    </row>
    <row r="85" spans="4:17" x14ac:dyDescent="0.15">
      <c r="H85" s="44"/>
      <c r="I85" s="44"/>
      <c r="J85" s="44"/>
      <c r="K85" s="44"/>
      <c r="L85" s="44"/>
    </row>
  </sheetData>
  <mergeCells count="11">
    <mergeCell ref="E50:F50"/>
    <mergeCell ref="E5:F5"/>
    <mergeCell ref="G5:H5"/>
    <mergeCell ref="I5:L5"/>
    <mergeCell ref="M5:P5"/>
    <mergeCell ref="O6:P6"/>
    <mergeCell ref="C6:D6"/>
    <mergeCell ref="G6:H6"/>
    <mergeCell ref="I6:J6"/>
    <mergeCell ref="K6:L6"/>
    <mergeCell ref="M6:N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O47" sqref="O47"/>
    </sheetView>
  </sheetViews>
  <sheetFormatPr defaultRowHeight="15" x14ac:dyDescent="0.25"/>
  <cols>
    <col min="1" max="1" width="19.140625" style="122" customWidth="1"/>
    <col min="2" max="2" width="11" style="119" customWidth="1"/>
    <col min="3" max="3" width="9.85546875" style="119" customWidth="1"/>
    <col min="4" max="19" width="11.42578125" style="119" customWidth="1"/>
    <col min="20" max="21" width="8.5703125" style="119" customWidth="1"/>
    <col min="22" max="16384" width="9.140625" style="119"/>
  </cols>
  <sheetData>
    <row r="1" spans="1:12" x14ac:dyDescent="0.25">
      <c r="A1" s="117" t="s">
        <v>241</v>
      </c>
      <c r="B1" s="118"/>
      <c r="C1" s="118"/>
      <c r="D1" s="118"/>
      <c r="E1" s="118"/>
      <c r="F1" s="118"/>
      <c r="G1" s="118"/>
      <c r="H1" s="118"/>
      <c r="I1" s="118"/>
      <c r="J1" s="118"/>
      <c r="K1" s="118"/>
      <c r="L1" s="118"/>
    </row>
    <row r="3" spans="1:12" x14ac:dyDescent="0.25">
      <c r="A3" s="3"/>
      <c r="B3" s="49" t="s">
        <v>141</v>
      </c>
      <c r="C3" s="49" t="s">
        <v>242</v>
      </c>
    </row>
    <row r="4" spans="1:12" x14ac:dyDescent="0.25">
      <c r="A4" s="120" t="s">
        <v>129</v>
      </c>
      <c r="B4" s="121">
        <f>VLOOKUP('NSW Calculations'!$H$3,'HB pop aged 15'!$F$3:$G$10,2,FALSE)</f>
        <v>39187</v>
      </c>
      <c r="C4" s="121">
        <f>VLOOKUP('NSW Calculations'!$H$3,'HB pop 16+'!$F$3:$G$10,2,FALSE)</f>
        <v>2401193</v>
      </c>
      <c r="G4" s="55"/>
    </row>
    <row r="5" spans="1:12" x14ac:dyDescent="0.25">
      <c r="A5" s="120" t="s">
        <v>131</v>
      </c>
      <c r="B5" s="121">
        <f>VLOOKUP('NSW Calculations'!$H$3,'HB pop aged 15'!$F$11:$G$18,2,FALSE)</f>
        <v>40459</v>
      </c>
      <c r="C5" s="121">
        <f>VLOOKUP('NSW Calculations'!$H$3,'HB pop 16+'!$F$11:$G$18,2,FALSE)</f>
        <v>2421036</v>
      </c>
      <c r="G5" s="55"/>
    </row>
    <row r="6" spans="1:12" x14ac:dyDescent="0.25">
      <c r="A6" s="120" t="s">
        <v>132</v>
      </c>
      <c r="B6" s="121">
        <f>VLOOKUP('NSW Calculations'!$H$3,'HB pop aged 15'!$F$19:$G$26,2,FALSE)</f>
        <v>39961</v>
      </c>
      <c r="C6" s="121">
        <f>VLOOKUP('NSW Calculations'!$H$3,'HB pop 16+'!$F$19:$G$26,2,FALSE)</f>
        <v>2445244</v>
      </c>
      <c r="G6" s="55"/>
    </row>
    <row r="7" spans="1:12" x14ac:dyDescent="0.25">
      <c r="A7" s="120" t="s">
        <v>133</v>
      </c>
      <c r="B7" s="121">
        <f>VLOOKUP('NSW Calculations'!$H$3,'HB pop aged 15'!$F$27:$G$34,2,FALSE)</f>
        <v>38834</v>
      </c>
      <c r="C7" s="121">
        <f>VLOOKUP('NSW Calculations'!$H$3,'HB pop 16+'!$F$27:$G$34,2,FALSE)</f>
        <v>2466956</v>
      </c>
      <c r="G7" s="55"/>
    </row>
    <row r="8" spans="1:12" x14ac:dyDescent="0.25">
      <c r="A8" s="120" t="s">
        <v>134</v>
      </c>
      <c r="B8" s="121">
        <f>VLOOKUP('NSW Calculations'!$H$3,'HB pop aged 15'!$F$35:$G$42,2,FALSE)</f>
        <v>38859</v>
      </c>
      <c r="C8" s="121">
        <f>VLOOKUP('NSW Calculations'!$H$3,'HB pop 16+'!$F$35:$G$42,2,FALSE)</f>
        <v>2481907</v>
      </c>
      <c r="G8" s="55"/>
    </row>
    <row r="9" spans="1:12" x14ac:dyDescent="0.25">
      <c r="A9" s="120" t="s">
        <v>135</v>
      </c>
      <c r="B9" s="121">
        <f>VLOOKUP('NSW Calculations'!$H$3,'HB pop aged 15'!$F$43:$G$50,2,FALSE)</f>
        <v>37233</v>
      </c>
      <c r="C9" s="121">
        <f>VLOOKUP('NSW Calculations'!$H$3,'HB pop 16+'!$F$43:$G$50,2,FALSE)</f>
        <v>2494980</v>
      </c>
      <c r="G9" s="55"/>
    </row>
    <row r="10" spans="1:12" x14ac:dyDescent="0.25">
      <c r="A10" s="120" t="s">
        <v>136</v>
      </c>
      <c r="B10" s="121">
        <f>VLOOKUP('NSW Calculations'!$H$3,'HB pop aged 15'!$F$51:$G$58,2,FALSE)</f>
        <v>36945</v>
      </c>
      <c r="C10" s="121">
        <f>VLOOKUP('NSW Calculations'!$H$3,'HB pop 16+'!$F$51:$G$58,2,FALSE)</f>
        <v>2507917</v>
      </c>
      <c r="G10" s="55"/>
    </row>
    <row r="11" spans="1:12" x14ac:dyDescent="0.25">
      <c r="A11" s="120" t="s">
        <v>137</v>
      </c>
      <c r="B11" s="121">
        <f>VLOOKUP('NSW Calculations'!$H$3,'HB pop aged 15'!$F$59:$G$66,2,FALSE)</f>
        <v>37910</v>
      </c>
      <c r="C11" s="121">
        <f>VLOOKUP('NSW Calculations'!$H$3,'HB pop 16+'!$F$59:$G$66,2,FALSE)</f>
        <v>2517515</v>
      </c>
      <c r="G11" s="55"/>
    </row>
    <row r="12" spans="1:12" x14ac:dyDescent="0.25">
      <c r="A12" s="120" t="s">
        <v>138</v>
      </c>
      <c r="B12" s="121">
        <f>VLOOKUP('NSW Calculations'!$H$3,'HB pop aged 15'!$F$67:$G$74,2,FALSE)</f>
        <v>36420</v>
      </c>
      <c r="C12" s="121">
        <f>VLOOKUP('NSW Calculations'!$H$3,'HB pop 16+'!$F$67:$G$74,2,FALSE)</f>
        <v>2527247</v>
      </c>
      <c r="G12" s="55"/>
    </row>
    <row r="13" spans="1:12" x14ac:dyDescent="0.25">
      <c r="A13" s="120" t="s">
        <v>139</v>
      </c>
      <c r="B13" s="121">
        <f>VLOOKUP('NSW Calculations'!$H$3,'HB pop aged 15'!$F$75:$G$82,2,FALSE)</f>
        <v>35751</v>
      </c>
      <c r="C13" s="121">
        <f>VLOOKUP('NSW Calculations'!$H$3,'HB pop 16+'!$F$75:$G$82,2,FALSE)</f>
        <v>2537195</v>
      </c>
      <c r="G13" s="55"/>
    </row>
    <row r="14" spans="1:12" x14ac:dyDescent="0.25">
      <c r="A14" s="120" t="s">
        <v>140</v>
      </c>
      <c r="B14" s="121">
        <f>VLOOKUP('NSW Calculations'!$H$3,'HB pop aged 15'!$F$83:$G$90,2,FALSE)</f>
        <v>34611</v>
      </c>
      <c r="C14" s="121">
        <f>VLOOKUP('NSW Calculations'!$H$3,'HB pop 16+'!$F$83:$G$90,2,FALSE)</f>
        <v>2543797</v>
      </c>
      <c r="G14" s="55"/>
    </row>
    <row r="15" spans="1:12" x14ac:dyDescent="0.25">
      <c r="A15" s="1">
        <v>2016</v>
      </c>
      <c r="B15" s="125">
        <f>VLOOKUP('NSW Calculations'!$H$3,'HB pop aged 15'!$F$91:$G$98,2,FALSE)</f>
        <v>33896</v>
      </c>
      <c r="C15" s="125">
        <f>VLOOKUP('NSW Calculations'!$H$3,'HB pop 16+'!$F$91:$G$98,2,FALSE)</f>
        <v>2556071</v>
      </c>
      <c r="D15" s="118"/>
    </row>
    <row r="16" spans="1:12" x14ac:dyDescent="0.25">
      <c r="A16" s="3">
        <v>2017</v>
      </c>
      <c r="B16" s="3">
        <f>VLOOKUP('NSW Calculations'!$H$3,'HB pop projections'!$A$2:$AB$9,D16,FALSE)</f>
        <v>32435</v>
      </c>
      <c r="C16" s="3">
        <f>VLOOKUP('NSW Calculations'!$H$3,'HB pop projections'!$A$11:$AB$18,D16,FALSE)</f>
        <v>2563180</v>
      </c>
      <c r="D16" s="119">
        <v>6</v>
      </c>
    </row>
    <row r="17" spans="1:4" x14ac:dyDescent="0.25">
      <c r="A17" s="3">
        <v>2018</v>
      </c>
      <c r="B17" s="3">
        <f>VLOOKUP('NSW Calculations'!$H$3,'HB pop projections'!$A$2:$AB$9,D17,FALSE)</f>
        <v>32525</v>
      </c>
      <c r="C17" s="3">
        <f>VLOOKUP('NSW Calculations'!$H$3,'HB pop projections'!$A$11:$AB$18,D17,FALSE)</f>
        <v>2569264</v>
      </c>
      <c r="D17" s="119">
        <v>7</v>
      </c>
    </row>
    <row r="18" spans="1:4" x14ac:dyDescent="0.25">
      <c r="A18" s="3">
        <v>2019</v>
      </c>
      <c r="B18" s="3">
        <f>VLOOKUP('NSW Calculations'!$H$3,'HB pop projections'!$A$2:$AB$9,D18,FALSE)</f>
        <v>33212</v>
      </c>
      <c r="C18" s="3">
        <f>VLOOKUP('NSW Calculations'!$H$3,'HB pop projections'!$A$11:$AB$18,D18,FALSE)</f>
        <v>2575200</v>
      </c>
      <c r="D18" s="119">
        <v>8</v>
      </c>
    </row>
    <row r="19" spans="1:4" x14ac:dyDescent="0.25">
      <c r="A19" s="3">
        <v>2020</v>
      </c>
      <c r="B19" s="3">
        <f>VLOOKUP('NSW Calculations'!$H$3,'HB pop projections'!$A$2:$AB$9,D19,FALSE)</f>
        <v>34190</v>
      </c>
      <c r="C19" s="3">
        <f>VLOOKUP('NSW Calculations'!$H$3,'HB pop projections'!$A$11:$AB$18,D19,FALSE)</f>
        <v>2581373</v>
      </c>
      <c r="D19" s="119">
        <v>9</v>
      </c>
    </row>
    <row r="20" spans="1:4" x14ac:dyDescent="0.25">
      <c r="A20" s="3">
        <v>2021</v>
      </c>
      <c r="B20" s="3">
        <f>VLOOKUP('NSW Calculations'!$H$3,'HB pop projections'!$A$2:$AB$9,D20,FALSE)</f>
        <v>35456</v>
      </c>
      <c r="C20" s="3">
        <f>VLOOKUP('NSW Calculations'!$H$3,'HB pop projections'!$A$11:$AB$18,D20,FALSE)</f>
        <v>2588257</v>
      </c>
      <c r="D20" s="119">
        <v>10</v>
      </c>
    </row>
    <row r="21" spans="1:4" x14ac:dyDescent="0.25">
      <c r="A21" s="3">
        <v>2022</v>
      </c>
      <c r="B21" s="3">
        <f>VLOOKUP('NSW Calculations'!$H$3,'HB pop projections'!$A$2:$AB$9,D21,FALSE)</f>
        <v>35995</v>
      </c>
      <c r="C21" s="3">
        <f>VLOOKUP('NSW Calculations'!$H$3,'HB pop projections'!$A$11:$AB$18,D21,FALSE)</f>
        <v>2596328</v>
      </c>
      <c r="D21" s="119">
        <v>11</v>
      </c>
    </row>
    <row r="22" spans="1:4" x14ac:dyDescent="0.25">
      <c r="A22" s="3">
        <v>2023</v>
      </c>
      <c r="B22" s="3">
        <f>VLOOKUP('NSW Calculations'!$H$3,'HB pop projections'!$A$2:$AB$9,D22,FALSE)</f>
        <v>37427</v>
      </c>
      <c r="C22" s="3">
        <f>VLOOKUP('NSW Calculations'!$H$3,'HB pop projections'!$A$11:$AB$18,D22,FALSE)</f>
        <v>2604892</v>
      </c>
      <c r="D22" s="119">
        <v>12</v>
      </c>
    </row>
    <row r="23" spans="1:4" x14ac:dyDescent="0.25">
      <c r="A23" s="3">
        <v>2024</v>
      </c>
      <c r="B23" s="3">
        <f>VLOOKUP('NSW Calculations'!$H$3,'HB pop projections'!$A$2:$AB$9,D23,FALSE)</f>
        <v>36792</v>
      </c>
      <c r="C23" s="3">
        <f>VLOOKUP('NSW Calculations'!$H$3,'HB pop projections'!$A$11:$AB$18,D23,FALSE)</f>
        <v>2614880</v>
      </c>
      <c r="D23" s="119">
        <v>13</v>
      </c>
    </row>
    <row r="24" spans="1:4" x14ac:dyDescent="0.25">
      <c r="A24" s="3">
        <v>2025</v>
      </c>
      <c r="B24" s="3">
        <f>VLOOKUP('NSW Calculations'!$H$3,'HB pop projections'!$A$2:$AB$9,D24,FALSE)</f>
        <v>37364</v>
      </c>
      <c r="C24" s="3">
        <f>VLOOKUP('NSW Calculations'!$H$3,'HB pop projections'!$A$11:$AB$18,D24,FALSE)</f>
        <v>2624233</v>
      </c>
      <c r="D24" s="119">
        <v>14</v>
      </c>
    </row>
    <row r="25" spans="1:4" x14ac:dyDescent="0.25">
      <c r="A25" s="3">
        <v>2026</v>
      </c>
      <c r="B25" s="3">
        <f>VLOOKUP('NSW Calculations'!$H$3,'HB pop projections'!$A$2:$AB$9,D25,FALSE)</f>
        <v>38201</v>
      </c>
      <c r="C25" s="3">
        <f>VLOOKUP('NSW Calculations'!$H$3,'HB pop projections'!$A$11:$AB$18,D25,FALSE)</f>
        <v>2634085</v>
      </c>
      <c r="D25" s="119">
        <v>15</v>
      </c>
    </row>
    <row r="26" spans="1:4" x14ac:dyDescent="0.25">
      <c r="A26" s="3">
        <v>2027</v>
      </c>
      <c r="B26" s="3">
        <f>VLOOKUP('NSW Calculations'!$H$3,'HB pop projections'!$A$2:$AB$9,D26,FALSE)</f>
        <v>37446</v>
      </c>
      <c r="C26" s="3">
        <f>VLOOKUP('NSW Calculations'!$H$3,'HB pop projections'!$A$11:$AB$18,D26,FALSE)</f>
        <v>2644589</v>
      </c>
      <c r="D26" s="119">
        <v>16</v>
      </c>
    </row>
    <row r="27" spans="1:4" x14ac:dyDescent="0.25">
      <c r="A27" s="3">
        <v>2028</v>
      </c>
      <c r="B27" s="3">
        <f>VLOOKUP('NSW Calculations'!$H$3,'HB pop projections'!$A$2:$AB$9,D27,FALSE)</f>
        <v>36258</v>
      </c>
      <c r="C27" s="3">
        <f>VLOOKUP('NSW Calculations'!$H$3,'HB pop projections'!$A$11:$AB$18,D27,FALSE)</f>
        <v>2654083</v>
      </c>
      <c r="D27" s="119">
        <v>17</v>
      </c>
    </row>
    <row r="28" spans="1:4" x14ac:dyDescent="0.25">
      <c r="A28" s="3">
        <v>2029</v>
      </c>
      <c r="B28" s="3">
        <f>VLOOKUP('NSW Calculations'!$H$3,'HB pop projections'!$A$2:$AB$9,D28,FALSE)</f>
        <v>35315</v>
      </c>
      <c r="C28" s="3">
        <f>VLOOKUP('NSW Calculations'!$H$3,'HB pop projections'!$A$11:$AB$18,D28,FALSE)</f>
        <v>2661987</v>
      </c>
      <c r="D28" s="119">
        <v>18</v>
      </c>
    </row>
    <row r="29" spans="1:4" x14ac:dyDescent="0.25">
      <c r="A29" s="3">
        <v>2030</v>
      </c>
      <c r="B29" s="3">
        <f>VLOOKUP('NSW Calculations'!$H$3,'HB pop projections'!$A$2:$AB$9,D29,FALSE)</f>
        <v>35085</v>
      </c>
      <c r="C29" s="3">
        <f>VLOOKUP('NSW Calculations'!$H$3,'HB pop projections'!$A$11:$AB$18,D29,FALSE)</f>
        <v>2668517</v>
      </c>
      <c r="D29" s="119">
        <v>19</v>
      </c>
    </row>
    <row r="30" spans="1:4" x14ac:dyDescent="0.25">
      <c r="A30" s="3">
        <v>2031</v>
      </c>
      <c r="B30" s="3">
        <f>VLOOKUP('NSW Calculations'!$H$3,'HB pop projections'!$A$2:$AB$9,D30,FALSE)</f>
        <v>35271</v>
      </c>
      <c r="C30" s="3">
        <f>VLOOKUP('NSW Calculations'!$H$3,'HB pop projections'!$A$11:$AB$18,D30,FALSE)</f>
        <v>2674378</v>
      </c>
      <c r="D30" s="119">
        <v>20</v>
      </c>
    </row>
    <row r="31" spans="1:4" x14ac:dyDescent="0.25">
      <c r="A31" s="3">
        <v>2032</v>
      </c>
      <c r="B31" s="3">
        <f>VLOOKUP('NSW Calculations'!$H$3,'HB pop projections'!$A$2:$AB$9,D31,FALSE)</f>
        <v>35527</v>
      </c>
      <c r="C31" s="3">
        <f>VLOOKUP('NSW Calculations'!$H$3,'HB pop projections'!$A$11:$AB$18,D31,FALSE)</f>
        <v>2679892</v>
      </c>
      <c r="D31" s="119">
        <v>21</v>
      </c>
    </row>
    <row r="32" spans="1:4" x14ac:dyDescent="0.25">
      <c r="A32" s="3">
        <v>2033</v>
      </c>
      <c r="B32" s="3">
        <f>VLOOKUP('NSW Calculations'!$H$3,'HB pop projections'!$A$2:$AB$9,D32,FALSE)</f>
        <v>35770</v>
      </c>
      <c r="C32" s="3">
        <f>VLOOKUP('NSW Calculations'!$H$3,'HB pop projections'!$A$11:$AB$18,D32,FALSE)</f>
        <v>2685097</v>
      </c>
      <c r="D32" s="119">
        <v>22</v>
      </c>
    </row>
    <row r="33" spans="1:4" x14ac:dyDescent="0.25">
      <c r="A33" s="3">
        <v>2034</v>
      </c>
      <c r="B33" s="3">
        <f>VLOOKUP('NSW Calculations'!$H$3,'HB pop projections'!$A$2:$AB$9,D33,FALSE)</f>
        <v>36080</v>
      </c>
      <c r="C33" s="3">
        <f>VLOOKUP('NSW Calculations'!$H$3,'HB pop projections'!$A$11:$AB$18,D33,FALSE)</f>
        <v>2689943</v>
      </c>
      <c r="D33" s="119">
        <v>23</v>
      </c>
    </row>
    <row r="34" spans="1:4" x14ac:dyDescent="0.25">
      <c r="A34" s="3">
        <v>2035</v>
      </c>
      <c r="B34" s="3">
        <f>VLOOKUP('NSW Calculations'!$H$3,'HB pop projections'!$A$2:$AB$9,D34,FALSE)</f>
        <v>36378</v>
      </c>
      <c r="C34" s="3">
        <f>VLOOKUP('NSW Calculations'!$H$3,'HB pop projections'!$A$11:$AB$18,D34,FALSE)</f>
        <v>2694618</v>
      </c>
      <c r="D34" s="119">
        <v>24</v>
      </c>
    </row>
    <row r="35" spans="1:4" x14ac:dyDescent="0.25">
      <c r="A35" s="3">
        <v>2036</v>
      </c>
      <c r="B35" s="3">
        <f>VLOOKUP('NSW Calculations'!$H$3,'HB pop projections'!$A$2:$AB$9,D35,FALSE)</f>
        <v>36660</v>
      </c>
      <c r="C35" s="3">
        <f>VLOOKUP('NSW Calculations'!$H$3,'HB pop projections'!$A$11:$AB$18,D35,FALSE)</f>
        <v>2699210</v>
      </c>
      <c r="D35" s="119">
        <v>25</v>
      </c>
    </row>
    <row r="36" spans="1:4" x14ac:dyDescent="0.25">
      <c r="A36" s="3">
        <v>2037</v>
      </c>
      <c r="B36" s="3">
        <f>VLOOKUP('NSW Calculations'!$H$3,'HB pop projections'!$A$2:$AB$9,D36,FALSE)</f>
        <v>36943</v>
      </c>
      <c r="C36" s="3">
        <f>VLOOKUP('NSW Calculations'!$H$3,'HB pop projections'!$A$11:$AB$18,D36,FALSE)</f>
        <v>2703757</v>
      </c>
      <c r="D36" s="119">
        <v>26</v>
      </c>
    </row>
    <row r="37" spans="1:4" x14ac:dyDescent="0.25">
      <c r="A37" s="3">
        <v>2038</v>
      </c>
      <c r="B37" s="3">
        <f>VLOOKUP('NSW Calculations'!$H$3,'HB pop projections'!$A$2:$AB$9,D37,FALSE)</f>
        <v>37086</v>
      </c>
      <c r="C37" s="3">
        <f>VLOOKUP('NSW Calculations'!$H$3,'HB pop projections'!$A$11:$AB$18,D37,FALSE)</f>
        <v>2708294</v>
      </c>
      <c r="D37" s="119">
        <v>27</v>
      </c>
    </row>
    <row r="38" spans="1:4" x14ac:dyDescent="0.25">
      <c r="A38" s="3">
        <v>2039</v>
      </c>
      <c r="B38" s="3">
        <f>VLOOKUP('NSW Calculations'!$H$3,'HB pop projections'!$A$2:$AB$9,D38,FALSE)</f>
        <v>37078</v>
      </c>
      <c r="C38" s="3">
        <f>VLOOKUP('NSW Calculations'!$H$3,'HB pop projections'!$A$11:$AB$18,D38,FALSE)</f>
        <v>2712678</v>
      </c>
      <c r="D38" s="119">
        <v>28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Intro</vt:lpstr>
      <vt:lpstr>Tab2</vt:lpstr>
      <vt:lpstr>WHS output</vt:lpstr>
      <vt:lpstr>TechGuide</vt:lpstr>
      <vt:lpstr>InterpretGuide</vt:lpstr>
      <vt:lpstr>CopyingInstruct</vt:lpstr>
      <vt:lpstr>NSW Controls</vt:lpstr>
      <vt:lpstr>NSW Calculations</vt:lpstr>
      <vt:lpstr>NSW Projections data for calcs</vt:lpstr>
      <vt:lpstr>WHS Controls</vt:lpstr>
      <vt:lpstr>WHS Projections data for calcs</vt:lpstr>
      <vt:lpstr>WHS Calculations</vt:lpstr>
      <vt:lpstr>Smoking data</vt:lpstr>
      <vt:lpstr>WHS Wales smoking data</vt:lpstr>
      <vt:lpstr>WHS Health Board Smoking data</vt:lpstr>
      <vt:lpstr>HB pop projections</vt:lpstr>
      <vt:lpstr>HB pop 16+</vt:lpstr>
      <vt:lpstr>HB pop aged 15</vt:lpstr>
      <vt:lpstr>'WHS Health Board Smoking data'!Print_Area</vt:lpstr>
      <vt:lpstr>'WHS Wales smoking data'!Print_Area</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 Francis</dc:creator>
  <cp:lastModifiedBy>Arthur Duncan-Jones</cp:lastModifiedBy>
  <cp:lastPrinted>2017-08-03T14:37:06Z</cp:lastPrinted>
  <dcterms:created xsi:type="dcterms:W3CDTF">2014-10-24T11:07:51Z</dcterms:created>
  <dcterms:modified xsi:type="dcterms:W3CDTF">2017-10-12T14:45:11Z</dcterms:modified>
</cp:coreProperties>
</file>