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hidePivotFieldList="1" defaultThemeVersion="124226"/>
  <workbookProtection workbookPassword="C3EC" lockStructure="1"/>
  <bookViews>
    <workbookView showSheetTabs="0" xWindow="3375" yWindow="735" windowWidth="20115" windowHeight="5475" tabRatio="838" activeTab="1"/>
  </bookViews>
  <sheets>
    <sheet name="Readme" sheetId="97" r:id="rId1"/>
    <sheet name="Output" sheetId="70" r:id="rId2"/>
    <sheet name="How to copy charts &amp; tables" sheetId="98" r:id="rId3"/>
    <sheet name="ALL CONTROLS" sheetId="24" state="hidden" r:id="rId4"/>
    <sheet name="Interactive pyramid data" sheetId="75" state="hidden" r:id="rId5"/>
    <sheet name="2015 SQL Output" sheetId="94" state="hidden" r:id="rId6"/>
    <sheet name="Interpretation guide" sheetId="102" r:id="rId7"/>
  </sheets>
  <externalReferences>
    <externalReference r:id="rId8"/>
  </externalReferences>
  <definedNames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hidden="1">'[1]Raw Data Districts'!#REF!</definedName>
    <definedName name="_Order1" hidden="1">255</definedName>
    <definedName name="_Sort" localSheetId="1" hidden="1">#REF!</definedName>
    <definedName name="_Sort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20000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</definedNames>
  <calcPr calcId="162913"/>
</workbook>
</file>

<file path=xl/calcChain.xml><?xml version="1.0" encoding="utf-8"?>
<calcChain xmlns="http://schemas.openxmlformats.org/spreadsheetml/2006/main">
  <c r="J44" i="70" l="1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43" i="70"/>
  <c r="BI5" i="75" l="1"/>
  <c r="BH5" i="75"/>
  <c r="BG5" i="75"/>
  <c r="BF5" i="75"/>
  <c r="BE5" i="75"/>
  <c r="BD5" i="75"/>
  <c r="BC5" i="75"/>
  <c r="BB5" i="75"/>
  <c r="BA5" i="75"/>
  <c r="AZ5" i="75"/>
  <c r="AY5" i="75"/>
  <c r="AX5" i="75"/>
  <c r="AW5" i="75"/>
  <c r="AV5" i="75"/>
  <c r="AU5" i="75"/>
  <c r="AT5" i="75"/>
  <c r="AS5" i="75"/>
  <c r="AR5" i="75"/>
  <c r="AQ5" i="75"/>
  <c r="U5" i="75"/>
  <c r="T5" i="75"/>
  <c r="S5" i="75"/>
  <c r="R5" i="75"/>
  <c r="Q5" i="75"/>
  <c r="P5" i="75"/>
  <c r="O5" i="75"/>
  <c r="N5" i="75"/>
  <c r="M5" i="75"/>
  <c r="L5" i="75"/>
  <c r="K5" i="75"/>
  <c r="J5" i="75"/>
  <c r="I5" i="75"/>
  <c r="H5" i="75"/>
  <c r="G5" i="75"/>
  <c r="F5" i="75"/>
  <c r="E5" i="75"/>
  <c r="D5" i="75"/>
  <c r="C5" i="75"/>
  <c r="T76" i="94"/>
  <c r="T51" i="94"/>
  <c r="T25" i="94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BI22" i="75"/>
  <c r="BH22" i="75"/>
  <c r="BG22" i="75"/>
  <c r="BF22" i="75"/>
  <c r="BE22" i="75"/>
  <c r="BD22" i="75"/>
  <c r="BC22" i="75"/>
  <c r="BB22" i="75"/>
  <c r="BA22" i="75"/>
  <c r="AZ22" i="75"/>
  <c r="AY22" i="75"/>
  <c r="AX22" i="75"/>
  <c r="AW22" i="75"/>
  <c r="AV22" i="75"/>
  <c r="AU22" i="75"/>
  <c r="AT22" i="75"/>
  <c r="AS22" i="75"/>
  <c r="AR22" i="75"/>
  <c r="AQ22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BI18" i="75"/>
  <c r="BH18" i="75"/>
  <c r="BG18" i="75"/>
  <c r="BF18" i="75"/>
  <c r="BE18" i="75"/>
  <c r="BD18" i="75"/>
  <c r="BC18" i="75"/>
  <c r="BB18" i="75"/>
  <c r="BA18" i="75"/>
  <c r="AZ18" i="75"/>
  <c r="AY18" i="75"/>
  <c r="AX18" i="75"/>
  <c r="AW18" i="75"/>
  <c r="AV18" i="75"/>
  <c r="AU18" i="75"/>
  <c r="AT18" i="75"/>
  <c r="AS18" i="75"/>
  <c r="AR18" i="75"/>
  <c r="AQ18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BI15" i="75"/>
  <c r="BH15" i="75"/>
  <c r="BG15" i="75"/>
  <c r="BF15" i="75"/>
  <c r="BE15" i="75"/>
  <c r="BD15" i="75"/>
  <c r="BC15" i="75"/>
  <c r="BB15" i="75"/>
  <c r="BA15" i="75"/>
  <c r="AZ15" i="75"/>
  <c r="AY15" i="75"/>
  <c r="AX15" i="75"/>
  <c r="AW15" i="75"/>
  <c r="AV15" i="75"/>
  <c r="AU15" i="75"/>
  <c r="AT15" i="75"/>
  <c r="AS15" i="75"/>
  <c r="AR15" i="75"/>
  <c r="AQ15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AO22" i="75"/>
  <c r="AN22" i="75"/>
  <c r="AM22" i="75"/>
  <c r="AL22" i="75"/>
  <c r="AK22" i="75"/>
  <c r="AJ22" i="75"/>
  <c r="AI22" i="75"/>
  <c r="AH22" i="75"/>
  <c r="AG22" i="75"/>
  <c r="AF22" i="75"/>
  <c r="AE22" i="75"/>
  <c r="AD22" i="75"/>
  <c r="AC22" i="75"/>
  <c r="AB22" i="75"/>
  <c r="AA22" i="75"/>
  <c r="Z22" i="75"/>
  <c r="Y22" i="75"/>
  <c r="X22" i="75"/>
  <c r="W22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AO18" i="75"/>
  <c r="AN18" i="75"/>
  <c r="AM18" i="75"/>
  <c r="AL18" i="75"/>
  <c r="AK18" i="75"/>
  <c r="AJ18" i="75"/>
  <c r="AI18" i="75"/>
  <c r="AH18" i="75"/>
  <c r="AG18" i="75"/>
  <c r="AF18" i="75"/>
  <c r="AE18" i="75"/>
  <c r="AD18" i="75"/>
  <c r="AC18" i="75"/>
  <c r="AB18" i="75"/>
  <c r="AA18" i="75"/>
  <c r="Z18" i="75"/>
  <c r="Y18" i="75"/>
  <c r="X18" i="75"/>
  <c r="W18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AO15" i="75"/>
  <c r="AN15" i="75"/>
  <c r="AM15" i="75"/>
  <c r="AL15" i="75"/>
  <c r="AK15" i="75"/>
  <c r="AJ15" i="75"/>
  <c r="AI15" i="75"/>
  <c r="AH15" i="75"/>
  <c r="AG15" i="75"/>
  <c r="AF15" i="75"/>
  <c r="AE15" i="75"/>
  <c r="AD15" i="75"/>
  <c r="AC15" i="75"/>
  <c r="AB15" i="75"/>
  <c r="AA15" i="75"/>
  <c r="Z15" i="75"/>
  <c r="Y15" i="75"/>
  <c r="X15" i="75"/>
  <c r="W15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AO5" i="75"/>
  <c r="AN5" i="75"/>
  <c r="AM5" i="75"/>
  <c r="AL5" i="75"/>
  <c r="AK5" i="75"/>
  <c r="AJ5" i="75"/>
  <c r="AI5" i="75"/>
  <c r="AH5" i="75"/>
  <c r="AG5" i="75"/>
  <c r="AF5" i="75"/>
  <c r="AE5" i="75"/>
  <c r="AD5" i="75"/>
  <c r="AC5" i="75"/>
  <c r="AB5" i="75"/>
  <c r="AA5" i="75"/>
  <c r="Z5" i="75"/>
  <c r="Y5" i="75"/>
  <c r="X5" i="75"/>
  <c r="W5" i="75"/>
  <c r="D11" i="75"/>
  <c r="E11" i="75"/>
  <c r="F11" i="75"/>
  <c r="G11" i="75"/>
  <c r="H11" i="75"/>
  <c r="I11" i="75"/>
  <c r="J11" i="75"/>
  <c r="K11" i="75"/>
  <c r="L11" i="75"/>
  <c r="M11" i="75"/>
  <c r="N11" i="75"/>
  <c r="O11" i="75"/>
  <c r="P11" i="75"/>
  <c r="Q11" i="75"/>
  <c r="R11" i="75"/>
  <c r="S11" i="75"/>
  <c r="T11" i="75"/>
  <c r="U11" i="75"/>
  <c r="D12" i="75"/>
  <c r="E12" i="75"/>
  <c r="F12" i="75"/>
  <c r="G12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D13" i="75"/>
  <c r="E13" i="75"/>
  <c r="F13" i="75"/>
  <c r="G13" i="75"/>
  <c r="H13" i="75"/>
  <c r="I13" i="75"/>
  <c r="J13" i="75"/>
  <c r="K13" i="75"/>
  <c r="L13" i="75"/>
  <c r="M13" i="75"/>
  <c r="N13" i="75"/>
  <c r="O13" i="75"/>
  <c r="P13" i="75"/>
  <c r="Q13" i="75"/>
  <c r="R13" i="75"/>
  <c r="S13" i="75"/>
  <c r="T13" i="75"/>
  <c r="U13" i="75"/>
  <c r="D14" i="75"/>
  <c r="E14" i="75"/>
  <c r="F14" i="75"/>
  <c r="G14" i="75"/>
  <c r="H14" i="75"/>
  <c r="I14" i="75"/>
  <c r="J14" i="75"/>
  <c r="K14" i="75"/>
  <c r="L14" i="75"/>
  <c r="M14" i="75"/>
  <c r="N14" i="75"/>
  <c r="O14" i="75"/>
  <c r="P14" i="75"/>
  <c r="Q14" i="75"/>
  <c r="R14" i="75"/>
  <c r="S14" i="75"/>
  <c r="T14" i="75"/>
  <c r="U14" i="75"/>
  <c r="D15" i="75"/>
  <c r="E15" i="75"/>
  <c r="F15" i="75"/>
  <c r="G15" i="75"/>
  <c r="H15" i="75"/>
  <c r="I15" i="75"/>
  <c r="J15" i="75"/>
  <c r="K15" i="75"/>
  <c r="L15" i="75"/>
  <c r="M15" i="75"/>
  <c r="N15" i="75"/>
  <c r="O15" i="75"/>
  <c r="P15" i="75"/>
  <c r="Q15" i="75"/>
  <c r="R15" i="75"/>
  <c r="S15" i="75"/>
  <c r="T15" i="75"/>
  <c r="U15" i="75"/>
  <c r="D16" i="75"/>
  <c r="E16" i="75"/>
  <c r="F16" i="75"/>
  <c r="G16" i="75"/>
  <c r="H16" i="75"/>
  <c r="I16" i="75"/>
  <c r="J16" i="75"/>
  <c r="K16" i="75"/>
  <c r="L16" i="75"/>
  <c r="M16" i="75"/>
  <c r="N16" i="75"/>
  <c r="O16" i="75"/>
  <c r="P16" i="75"/>
  <c r="Q16" i="75"/>
  <c r="R16" i="75"/>
  <c r="S16" i="75"/>
  <c r="T16" i="75"/>
  <c r="U16" i="75"/>
  <c r="D17" i="75"/>
  <c r="E17" i="75"/>
  <c r="F17" i="75"/>
  <c r="G17" i="75"/>
  <c r="H17" i="75"/>
  <c r="I17" i="75"/>
  <c r="J17" i="75"/>
  <c r="K17" i="75"/>
  <c r="L17" i="75"/>
  <c r="M17" i="75"/>
  <c r="N17" i="75"/>
  <c r="O17" i="75"/>
  <c r="P17" i="75"/>
  <c r="Q17" i="75"/>
  <c r="R17" i="75"/>
  <c r="S17" i="75"/>
  <c r="T17" i="75"/>
  <c r="U17" i="75"/>
  <c r="D18" i="75"/>
  <c r="E18" i="75"/>
  <c r="F18" i="75"/>
  <c r="G18" i="75"/>
  <c r="H18" i="75"/>
  <c r="I18" i="75"/>
  <c r="J18" i="75"/>
  <c r="K18" i="75"/>
  <c r="L18" i="75"/>
  <c r="M18" i="75"/>
  <c r="N18" i="75"/>
  <c r="O18" i="75"/>
  <c r="P18" i="75"/>
  <c r="Q18" i="75"/>
  <c r="R18" i="75"/>
  <c r="S18" i="75"/>
  <c r="T18" i="75"/>
  <c r="U18" i="75"/>
  <c r="D19" i="75"/>
  <c r="E19" i="75"/>
  <c r="F19" i="75"/>
  <c r="G19" i="75"/>
  <c r="H19" i="75"/>
  <c r="I19" i="75"/>
  <c r="J19" i="75"/>
  <c r="K19" i="75"/>
  <c r="L19" i="75"/>
  <c r="M19" i="75"/>
  <c r="N19" i="75"/>
  <c r="O19" i="75"/>
  <c r="P19" i="75"/>
  <c r="Q19" i="75"/>
  <c r="R19" i="75"/>
  <c r="S19" i="75"/>
  <c r="T19" i="75"/>
  <c r="U19" i="75"/>
  <c r="D20" i="75"/>
  <c r="E20" i="75"/>
  <c r="F20" i="75"/>
  <c r="G20" i="75"/>
  <c r="H20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D21" i="75"/>
  <c r="E21" i="75"/>
  <c r="F21" i="75"/>
  <c r="G21" i="75"/>
  <c r="H21" i="75"/>
  <c r="I21" i="75"/>
  <c r="J21" i="75"/>
  <c r="K21" i="75"/>
  <c r="L21" i="75"/>
  <c r="M21" i="75"/>
  <c r="N21" i="75"/>
  <c r="O21" i="75"/>
  <c r="P21" i="75"/>
  <c r="Q21" i="75"/>
  <c r="R21" i="75"/>
  <c r="S21" i="75"/>
  <c r="T21" i="75"/>
  <c r="U21" i="75"/>
  <c r="D22" i="75"/>
  <c r="E22" i="75"/>
  <c r="F22" i="75"/>
  <c r="G22" i="75"/>
  <c r="H22" i="75"/>
  <c r="I22" i="75"/>
  <c r="J22" i="75"/>
  <c r="K22" i="75"/>
  <c r="L22" i="75"/>
  <c r="M22" i="75"/>
  <c r="N22" i="75"/>
  <c r="O22" i="75"/>
  <c r="P22" i="75"/>
  <c r="Q22" i="75"/>
  <c r="R22" i="75"/>
  <c r="S22" i="75"/>
  <c r="T22" i="75"/>
  <c r="U22" i="75"/>
  <c r="D23" i="75"/>
  <c r="E23" i="75"/>
  <c r="F23" i="75"/>
  <c r="G23" i="75"/>
  <c r="H23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D24" i="75"/>
  <c r="E24" i="75"/>
  <c r="F24" i="75"/>
  <c r="G24" i="75"/>
  <c r="H24" i="75"/>
  <c r="I24" i="75"/>
  <c r="J24" i="75"/>
  <c r="K24" i="75"/>
  <c r="L24" i="75"/>
  <c r="M24" i="75"/>
  <c r="N24" i="75"/>
  <c r="O24" i="75"/>
  <c r="P24" i="75"/>
  <c r="Q24" i="75"/>
  <c r="R24" i="75"/>
  <c r="S24" i="75"/>
  <c r="T24" i="75"/>
  <c r="U24" i="75"/>
  <c r="D25" i="75"/>
  <c r="E25" i="75"/>
  <c r="F25" i="75"/>
  <c r="G25" i="75"/>
  <c r="H25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D26" i="75"/>
  <c r="E26" i="75"/>
  <c r="F26" i="75"/>
  <c r="G26" i="75"/>
  <c r="H26" i="75"/>
  <c r="I26" i="75"/>
  <c r="J26" i="75"/>
  <c r="K26" i="75"/>
  <c r="L26" i="75"/>
  <c r="M26" i="75"/>
  <c r="N26" i="75"/>
  <c r="O26" i="75"/>
  <c r="P26" i="75"/>
  <c r="Q26" i="75"/>
  <c r="R26" i="75"/>
  <c r="S26" i="75"/>
  <c r="T26" i="75"/>
  <c r="U26" i="75"/>
  <c r="D27" i="75"/>
  <c r="E27" i="75"/>
  <c r="F27" i="75"/>
  <c r="G27" i="75"/>
  <c r="H27" i="75"/>
  <c r="I27" i="75"/>
  <c r="J27" i="75"/>
  <c r="K27" i="75"/>
  <c r="L27" i="75"/>
  <c r="M27" i="75"/>
  <c r="N27" i="75"/>
  <c r="O27" i="75"/>
  <c r="P27" i="75"/>
  <c r="Q27" i="75"/>
  <c r="R27" i="75"/>
  <c r="S27" i="75"/>
  <c r="T27" i="75"/>
  <c r="U27" i="75"/>
  <c r="D28" i="75"/>
  <c r="E28" i="75"/>
  <c r="F28" i="75"/>
  <c r="G28" i="75"/>
  <c r="H28" i="75"/>
  <c r="I28" i="75"/>
  <c r="J28" i="75"/>
  <c r="K28" i="75"/>
  <c r="L28" i="75"/>
  <c r="M28" i="75"/>
  <c r="N28" i="75"/>
  <c r="O28" i="75"/>
  <c r="P28" i="75"/>
  <c r="Q28" i="75"/>
  <c r="R28" i="75"/>
  <c r="S28" i="75"/>
  <c r="T28" i="75"/>
  <c r="U28" i="75"/>
  <c r="D29" i="75"/>
  <c r="E29" i="75"/>
  <c r="F29" i="75"/>
  <c r="G29" i="75"/>
  <c r="H29" i="75"/>
  <c r="I29" i="75"/>
  <c r="J29" i="75"/>
  <c r="K29" i="75"/>
  <c r="L29" i="75"/>
  <c r="M29" i="75"/>
  <c r="N29" i="75"/>
  <c r="O29" i="75"/>
  <c r="P29" i="75"/>
  <c r="Q29" i="75"/>
  <c r="R29" i="75"/>
  <c r="S29" i="75"/>
  <c r="T29" i="75"/>
  <c r="U29" i="75"/>
  <c r="D30" i="75"/>
  <c r="E30" i="75"/>
  <c r="F30" i="75"/>
  <c r="G30" i="75"/>
  <c r="H30" i="75"/>
  <c r="I30" i="75"/>
  <c r="J30" i="75"/>
  <c r="K30" i="75"/>
  <c r="L30" i="75"/>
  <c r="M30" i="75"/>
  <c r="N30" i="75"/>
  <c r="O30" i="75"/>
  <c r="P30" i="75"/>
  <c r="Q30" i="75"/>
  <c r="R30" i="75"/>
  <c r="S30" i="75"/>
  <c r="T30" i="75"/>
  <c r="U30" i="75"/>
  <c r="D31" i="75"/>
  <c r="E31" i="75"/>
  <c r="F31" i="75"/>
  <c r="G31" i="75"/>
  <c r="H31" i="75"/>
  <c r="I31" i="75"/>
  <c r="J31" i="75"/>
  <c r="K31" i="75"/>
  <c r="L31" i="75"/>
  <c r="M31" i="75"/>
  <c r="N31" i="75"/>
  <c r="O31" i="75"/>
  <c r="P31" i="75"/>
  <c r="Q31" i="75"/>
  <c r="R31" i="75"/>
  <c r="S31" i="75"/>
  <c r="T31" i="75"/>
  <c r="U3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11" i="75"/>
  <c r="AE8" i="75" l="1"/>
  <c r="AG9" i="75"/>
  <c r="BG9" i="75"/>
  <c r="AX8" i="75"/>
  <c r="AV9" i="75"/>
  <c r="AB8" i="75"/>
  <c r="AT10" i="75"/>
  <c r="Y9" i="75"/>
  <c r="AO9" i="75"/>
  <c r="AZ4" i="75"/>
  <c r="AS7" i="75"/>
  <c r="AX7" i="75"/>
  <c r="BI8" i="75"/>
  <c r="AQ9" i="75"/>
  <c r="AU9" i="75"/>
  <c r="AS10" i="75"/>
  <c r="BE10" i="75"/>
  <c r="C8" i="75"/>
  <c r="AD6" i="75"/>
  <c r="AH9" i="75"/>
  <c r="Y4" i="75"/>
  <c r="AC4" i="75"/>
  <c r="AG4" i="75"/>
  <c r="AK4" i="75"/>
  <c r="AO4" i="75"/>
  <c r="Z4" i="75"/>
  <c r="AD4" i="75"/>
  <c r="AH4" i="75"/>
  <c r="AL4" i="75"/>
  <c r="W4" i="75"/>
  <c r="AA4" i="75"/>
  <c r="AE4" i="75"/>
  <c r="AI4" i="75"/>
  <c r="AM4" i="75"/>
  <c r="AB4" i="75"/>
  <c r="W6" i="75"/>
  <c r="AA6" i="75"/>
  <c r="AE6" i="75"/>
  <c r="AI6" i="75"/>
  <c r="AM6" i="75"/>
  <c r="X6" i="75"/>
  <c r="AB6" i="75"/>
  <c r="AF6" i="75"/>
  <c r="AJ6" i="75"/>
  <c r="AN6" i="75"/>
  <c r="Y6" i="75"/>
  <c r="AC6" i="75"/>
  <c r="AG6" i="75"/>
  <c r="Z7" i="75"/>
  <c r="AD7" i="75"/>
  <c r="AH7" i="75"/>
  <c r="AL7" i="75"/>
  <c r="W7" i="75"/>
  <c r="AA7" i="75"/>
  <c r="AE7" i="75"/>
  <c r="AI7" i="75"/>
  <c r="AM7" i="75"/>
  <c r="X7" i="75"/>
  <c r="AF7" i="75"/>
  <c r="AN7" i="75"/>
  <c r="Y8" i="75"/>
  <c r="AC8" i="75"/>
  <c r="AG8" i="75"/>
  <c r="AK8" i="75"/>
  <c r="AO8" i="75"/>
  <c r="Z8" i="75"/>
  <c r="AD8" i="75"/>
  <c r="AH8" i="75"/>
  <c r="AL8" i="75"/>
  <c r="W9" i="75"/>
  <c r="AA9" i="75"/>
  <c r="AE9" i="75"/>
  <c r="AI9" i="75"/>
  <c r="AM9" i="75"/>
  <c r="X9" i="75"/>
  <c r="AB9" i="75"/>
  <c r="AF9" i="75"/>
  <c r="AJ9" i="75"/>
  <c r="AN9" i="75"/>
  <c r="Y10" i="75"/>
  <c r="AC10" i="75"/>
  <c r="AG10" i="75"/>
  <c r="AK10" i="75"/>
  <c r="AO10" i="75"/>
  <c r="Z10" i="75"/>
  <c r="AD10" i="75"/>
  <c r="AH10" i="75"/>
  <c r="AL10" i="75"/>
  <c r="Z6" i="75"/>
  <c r="W8" i="75"/>
  <c r="AA8" i="75"/>
  <c r="AI8" i="75"/>
  <c r="AM8" i="75"/>
  <c r="AC9" i="75"/>
  <c r="AK9" i="75"/>
  <c r="W10" i="75"/>
  <c r="AA10" i="75"/>
  <c r="AE10" i="75"/>
  <c r="AI10" i="75"/>
  <c r="AM10" i="75"/>
  <c r="X10" i="75"/>
  <c r="AB10" i="75"/>
  <c r="AF10" i="75"/>
  <c r="AN10" i="75"/>
  <c r="BD6" i="75"/>
  <c r="BF10" i="75"/>
  <c r="U9" i="75"/>
  <c r="Q9" i="75"/>
  <c r="M9" i="75"/>
  <c r="I9" i="75"/>
  <c r="E9" i="75"/>
  <c r="U8" i="75"/>
  <c r="Q8" i="75"/>
  <c r="M8" i="75"/>
  <c r="I8" i="75"/>
  <c r="E8" i="75"/>
  <c r="AF4" i="75"/>
  <c r="AH6" i="75"/>
  <c r="AL6" i="75"/>
  <c r="Y7" i="75"/>
  <c r="AC7" i="75"/>
  <c r="AG7" i="75"/>
  <c r="AK7" i="75"/>
  <c r="AO7" i="75"/>
  <c r="X8" i="75"/>
  <c r="AF8" i="75"/>
  <c r="AJ8" i="75"/>
  <c r="AN8" i="75"/>
  <c r="Z9" i="75"/>
  <c r="AD9" i="75"/>
  <c r="AL9" i="75"/>
  <c r="BG4" i="75"/>
  <c r="BE6" i="75"/>
  <c r="BH7" i="75"/>
  <c r="C4" i="75"/>
  <c r="C7" i="75"/>
  <c r="R9" i="75"/>
  <c r="N9" i="75"/>
  <c r="J9" i="75"/>
  <c r="F9" i="75"/>
  <c r="R8" i="75"/>
  <c r="N8" i="75"/>
  <c r="J8" i="75"/>
  <c r="F8" i="75"/>
  <c r="C6" i="75"/>
  <c r="BC6" i="75"/>
  <c r="AJ4" i="75"/>
  <c r="AY4" i="75"/>
  <c r="AV8" i="75"/>
  <c r="BD8" i="75"/>
  <c r="AT4" i="75"/>
  <c r="BB4" i="75"/>
  <c r="AU4" i="75"/>
  <c r="BC4" i="75"/>
  <c r="AR4" i="75"/>
  <c r="BH4" i="75"/>
  <c r="AR6" i="75"/>
  <c r="AV6" i="75"/>
  <c r="AZ6" i="75"/>
  <c r="BH6" i="75"/>
  <c r="AW6" i="75"/>
  <c r="BC7" i="75"/>
  <c r="AR7" i="75"/>
  <c r="AV7" i="75"/>
  <c r="BD7" i="75"/>
  <c r="AW7" i="75"/>
  <c r="BA7" i="75"/>
  <c r="BI7" i="75"/>
  <c r="AT8" i="75"/>
  <c r="BB8" i="75"/>
  <c r="BF8" i="75"/>
  <c r="AU8" i="75"/>
  <c r="BC8" i="75"/>
  <c r="AR9" i="75"/>
  <c r="AZ9" i="75"/>
  <c r="BD9" i="75"/>
  <c r="BH9" i="75"/>
  <c r="AX10" i="75"/>
  <c r="AY10" i="75"/>
  <c r="BD10" i="75"/>
  <c r="X4" i="75"/>
  <c r="AN4" i="75"/>
  <c r="AJ10" i="75"/>
  <c r="AR8" i="75"/>
  <c r="AZ8" i="75"/>
  <c r="AQ6" i="75"/>
  <c r="AU6" i="75"/>
  <c r="AY6" i="75"/>
  <c r="BG6" i="75"/>
  <c r="AT7" i="75"/>
  <c r="BB7" i="75"/>
  <c r="BF7" i="75"/>
  <c r="AS8" i="75"/>
  <c r="AW8" i="75"/>
  <c r="BA8" i="75"/>
  <c r="BE8" i="75"/>
  <c r="AY9" i="75"/>
  <c r="BC9" i="75"/>
  <c r="BA10" i="75"/>
  <c r="BI10" i="75"/>
  <c r="U10" i="75"/>
  <c r="M10" i="75"/>
  <c r="E10" i="75"/>
  <c r="S7" i="75"/>
  <c r="K7" i="75"/>
  <c r="Q6" i="75"/>
  <c r="I6" i="75"/>
  <c r="U4" i="75"/>
  <c r="M4" i="75"/>
  <c r="E4" i="75"/>
  <c r="R10" i="75"/>
  <c r="J10" i="75"/>
  <c r="T7" i="75"/>
  <c r="L7" i="75"/>
  <c r="D7" i="75"/>
  <c r="R6" i="75"/>
  <c r="J6" i="75"/>
  <c r="N4" i="75"/>
  <c r="F4" i="75"/>
  <c r="AS4" i="75"/>
  <c r="BA4" i="75"/>
  <c r="BI4" i="75"/>
  <c r="AX4" i="75"/>
  <c r="BF4" i="75"/>
  <c r="AU7" i="75"/>
  <c r="C9" i="75"/>
  <c r="S10" i="75"/>
  <c r="O10" i="75"/>
  <c r="K10" i="75"/>
  <c r="G10" i="75"/>
  <c r="S9" i="75"/>
  <c r="O9" i="75"/>
  <c r="K9" i="75"/>
  <c r="G9" i="75"/>
  <c r="S8" i="75"/>
  <c r="O8" i="75"/>
  <c r="K8" i="75"/>
  <c r="G8" i="75"/>
  <c r="U7" i="75"/>
  <c r="Q7" i="75"/>
  <c r="M7" i="75"/>
  <c r="I7" i="75"/>
  <c r="E7" i="75"/>
  <c r="S6" i="75"/>
  <c r="O6" i="75"/>
  <c r="K6" i="75"/>
  <c r="G6" i="75"/>
  <c r="S4" i="75"/>
  <c r="O4" i="75"/>
  <c r="K4" i="75"/>
  <c r="G4" i="75"/>
  <c r="AK6" i="75"/>
  <c r="AO6" i="75"/>
  <c r="AB7" i="75"/>
  <c r="AJ7" i="75"/>
  <c r="Q10" i="75"/>
  <c r="I10" i="75"/>
  <c r="O7" i="75"/>
  <c r="G7" i="75"/>
  <c r="U6" i="75"/>
  <c r="M6" i="75"/>
  <c r="E6" i="75"/>
  <c r="Q4" i="75"/>
  <c r="I4" i="75"/>
  <c r="N10" i="75"/>
  <c r="F10" i="75"/>
  <c r="P7" i="75"/>
  <c r="H7" i="75"/>
  <c r="N6" i="75"/>
  <c r="F6" i="75"/>
  <c r="R4" i="75"/>
  <c r="J4" i="75"/>
  <c r="AW4" i="75"/>
  <c r="BE4" i="75"/>
  <c r="AQ7" i="75"/>
  <c r="AY7" i="75"/>
  <c r="BG7" i="75"/>
  <c r="AW10" i="75"/>
  <c r="BB10" i="75"/>
  <c r="C10" i="75"/>
  <c r="T10" i="75"/>
  <c r="P10" i="75"/>
  <c r="L10" i="75"/>
  <c r="H10" i="75"/>
  <c r="D10" i="75"/>
  <c r="T9" i="75"/>
  <c r="P9" i="75"/>
  <c r="L9" i="75"/>
  <c r="H9" i="75"/>
  <c r="D9" i="75"/>
  <c r="T8" i="75"/>
  <c r="P8" i="75"/>
  <c r="L8" i="75"/>
  <c r="H8" i="75"/>
  <c r="D8" i="75"/>
  <c r="R7" i="75"/>
  <c r="N7" i="75"/>
  <c r="J7" i="75"/>
  <c r="F7" i="75"/>
  <c r="T6" i="75"/>
  <c r="P6" i="75"/>
  <c r="L6" i="75"/>
  <c r="H6" i="75"/>
  <c r="D6" i="75"/>
  <c r="T4" i="75"/>
  <c r="P4" i="75"/>
  <c r="L4" i="75"/>
  <c r="H4" i="75"/>
  <c r="D4" i="75"/>
  <c r="AQ4" i="75"/>
  <c r="AV4" i="75"/>
  <c r="BD4" i="75"/>
  <c r="AS6" i="75"/>
  <c r="BA6" i="75"/>
  <c r="BI6" i="75"/>
  <c r="AT6" i="75"/>
  <c r="AX6" i="75"/>
  <c r="BB6" i="75"/>
  <c r="BF6" i="75"/>
  <c r="AZ7" i="75"/>
  <c r="BE7" i="75"/>
  <c r="AQ8" i="75"/>
  <c r="AY8" i="75"/>
  <c r="BG8" i="75"/>
  <c r="BH8" i="75"/>
  <c r="AS9" i="75"/>
  <c r="AW9" i="75"/>
  <c r="BA9" i="75"/>
  <c r="BE9" i="75"/>
  <c r="BI9" i="75"/>
  <c r="AT9" i="75"/>
  <c r="AX9" i="75"/>
  <c r="BB9" i="75"/>
  <c r="BF9" i="75"/>
  <c r="AQ10" i="75"/>
  <c r="AU10" i="75"/>
  <c r="BC10" i="75"/>
  <c r="BG10" i="75"/>
  <c r="AR10" i="75"/>
  <c r="AV10" i="75"/>
  <c r="AZ10" i="75"/>
  <c r="BH10" i="75"/>
  <c r="F3" i="75" l="1"/>
  <c r="AY3" i="75"/>
  <c r="Z3" i="75"/>
  <c r="AW3" i="75"/>
  <c r="AB3" i="75"/>
  <c r="AD3" i="75"/>
  <c r="AG3" i="75"/>
  <c r="AM3" i="75"/>
  <c r="AE3" i="75"/>
  <c r="AH3" i="75"/>
  <c r="BI3" i="75"/>
  <c r="AC3" i="75"/>
  <c r="X3" i="75"/>
  <c r="AA3" i="75"/>
  <c r="Y3" i="75"/>
  <c r="W3" i="75"/>
  <c r="BB3" i="75"/>
  <c r="AX3" i="75"/>
  <c r="D3" i="75"/>
  <c r="T3" i="75"/>
  <c r="P3" i="75"/>
  <c r="L3" i="75"/>
  <c r="BG3" i="75"/>
  <c r="M3" i="75"/>
  <c r="AO3" i="75"/>
  <c r="O3" i="75"/>
  <c r="AU3" i="75"/>
  <c r="BA3" i="75"/>
  <c r="E3" i="75"/>
  <c r="AN3" i="75"/>
  <c r="AR3" i="75"/>
  <c r="BD3" i="75"/>
  <c r="C3" i="75"/>
  <c r="AL3" i="75"/>
  <c r="AF3" i="75"/>
  <c r="AI3" i="75"/>
  <c r="H3" i="75"/>
  <c r="N3" i="75"/>
  <c r="I3" i="75"/>
  <c r="AJ3" i="75"/>
  <c r="BF3" i="75"/>
  <c r="G3" i="75"/>
  <c r="BH3" i="75"/>
  <c r="BC3" i="75"/>
  <c r="AK3" i="75"/>
  <c r="BE3" i="75"/>
  <c r="AQ3" i="75"/>
  <c r="AV3" i="75"/>
  <c r="AZ3" i="75"/>
  <c r="AT3" i="75"/>
  <c r="J3" i="75"/>
  <c r="U3" i="75"/>
  <c r="S3" i="75"/>
  <c r="Q3" i="75"/>
  <c r="AS3" i="75"/>
  <c r="R3" i="75"/>
  <c r="K3" i="75"/>
  <c r="C35" i="24" l="1"/>
  <c r="K40" i="24"/>
  <c r="L40" i="24"/>
  <c r="K41" i="24"/>
  <c r="L41" i="24"/>
  <c r="K42" i="24"/>
  <c r="L42" i="24"/>
  <c r="K43" i="24"/>
  <c r="L43" i="24"/>
  <c r="K44" i="24"/>
  <c r="L44" i="24"/>
  <c r="K45" i="24"/>
  <c r="L45" i="24"/>
  <c r="K46" i="24"/>
  <c r="L46" i="24"/>
  <c r="K47" i="24"/>
  <c r="L47" i="24"/>
  <c r="K48" i="24"/>
  <c r="L48" i="24"/>
  <c r="K49" i="24"/>
  <c r="L49" i="24"/>
  <c r="K50" i="24"/>
  <c r="L50" i="24"/>
  <c r="K51" i="24"/>
  <c r="L51" i="24"/>
  <c r="K52" i="24"/>
  <c r="L52" i="24"/>
  <c r="K53" i="24"/>
  <c r="L53" i="24"/>
  <c r="K54" i="24"/>
  <c r="L54" i="24"/>
  <c r="K55" i="24"/>
  <c r="L55" i="24"/>
  <c r="K56" i="24"/>
  <c r="L56" i="24"/>
  <c r="K57" i="24"/>
  <c r="L57" i="24"/>
  <c r="K58" i="24"/>
  <c r="L58" i="24"/>
  <c r="C41" i="24" l="1"/>
  <c r="F41" i="24" s="1"/>
  <c r="E3" i="24"/>
  <c r="E12" i="24"/>
  <c r="E13" i="24"/>
  <c r="L60" i="24"/>
  <c r="M54" i="24"/>
  <c r="M47" i="24"/>
  <c r="M43" i="24"/>
  <c r="M56" i="24"/>
  <c r="M41" i="24"/>
  <c r="M52" i="24"/>
  <c r="M44" i="24"/>
  <c r="M40" i="24"/>
  <c r="M45" i="24"/>
  <c r="C58" i="24"/>
  <c r="C55" i="24"/>
  <c r="C54" i="24"/>
  <c r="E54" i="24" s="1"/>
  <c r="C53" i="24"/>
  <c r="C50" i="24"/>
  <c r="C47" i="24"/>
  <c r="C46" i="24"/>
  <c r="C45" i="24"/>
  <c r="C49" i="24"/>
  <c r="E6" i="24"/>
  <c r="C43" i="24"/>
  <c r="E43" i="24" s="1"/>
  <c r="C57" i="24"/>
  <c r="C51" i="24"/>
  <c r="C42" i="24"/>
  <c r="M46" i="24"/>
  <c r="M48" i="24"/>
  <c r="M55" i="24"/>
  <c r="M58" i="24"/>
  <c r="M49" i="24"/>
  <c r="M42" i="24"/>
  <c r="L59" i="24"/>
  <c r="K59" i="24"/>
  <c r="G7" i="24"/>
  <c r="C40" i="24"/>
  <c r="C44" i="24"/>
  <c r="C48" i="24"/>
  <c r="C52" i="24"/>
  <c r="C56" i="24"/>
  <c r="E7" i="24"/>
  <c r="M53" i="24"/>
  <c r="M57" i="24"/>
  <c r="M51" i="24"/>
  <c r="M50" i="24"/>
  <c r="E41" i="24" l="1"/>
  <c r="G41" i="24" s="1"/>
  <c r="M60" i="24"/>
  <c r="O60" i="24" s="1"/>
  <c r="O58" i="24"/>
  <c r="E47" i="24"/>
  <c r="F43" i="24"/>
  <c r="F54" i="24"/>
  <c r="F42" i="24"/>
  <c r="F45" i="24"/>
  <c r="E51" i="24"/>
  <c r="F49" i="24"/>
  <c r="E50" i="24"/>
  <c r="F58" i="24"/>
  <c r="O41" i="24"/>
  <c r="O45" i="24"/>
  <c r="P51" i="24"/>
  <c r="G74" i="24"/>
  <c r="E45" i="24"/>
  <c r="E42" i="24"/>
  <c r="F47" i="24"/>
  <c r="E55" i="24"/>
  <c r="F55" i="24"/>
  <c r="F46" i="24"/>
  <c r="E46" i="24"/>
  <c r="F51" i="24"/>
  <c r="E58" i="24"/>
  <c r="F50" i="24"/>
  <c r="E57" i="24"/>
  <c r="F57" i="24"/>
  <c r="E53" i="24"/>
  <c r="F53" i="24"/>
  <c r="E49" i="24"/>
  <c r="F52" i="24"/>
  <c r="E52" i="24"/>
  <c r="F66" i="24"/>
  <c r="P53" i="24"/>
  <c r="P44" i="24"/>
  <c r="O46" i="24"/>
  <c r="N47" i="24"/>
  <c r="O55" i="24"/>
  <c r="P56" i="24"/>
  <c r="O49" i="24"/>
  <c r="N56" i="24"/>
  <c r="O47" i="24"/>
  <c r="G80" i="24"/>
  <c r="G64" i="24"/>
  <c r="N49" i="24"/>
  <c r="G75" i="24"/>
  <c r="G63" i="24"/>
  <c r="O40" i="24"/>
  <c r="N55" i="24"/>
  <c r="P46" i="24"/>
  <c r="F56" i="24"/>
  <c r="E56" i="24"/>
  <c r="F40" i="24"/>
  <c r="E40" i="24"/>
  <c r="F44" i="24"/>
  <c r="E44" i="24"/>
  <c r="E48" i="24"/>
  <c r="F48" i="24"/>
  <c r="P42" i="24"/>
  <c r="G77" i="24"/>
  <c r="N52" i="24"/>
  <c r="O43" i="24"/>
  <c r="F65" i="24"/>
  <c r="F76" i="24"/>
  <c r="G81" i="24"/>
  <c r="F72" i="24"/>
  <c r="F80" i="24"/>
  <c r="G66" i="24"/>
  <c r="F77" i="24"/>
  <c r="O50" i="24"/>
  <c r="G70" i="24"/>
  <c r="G73" i="24"/>
  <c r="N58" i="24"/>
  <c r="O57" i="24"/>
  <c r="G76" i="24"/>
  <c r="P54" i="24"/>
  <c r="F73" i="24"/>
  <c r="P45" i="24"/>
  <c r="G65" i="24"/>
  <c r="G72" i="24"/>
  <c r="P58" i="24"/>
  <c r="F64" i="24"/>
  <c r="N51" i="24"/>
  <c r="N40" i="24"/>
  <c r="F67" i="24"/>
  <c r="O56" i="24"/>
  <c r="G79" i="24"/>
  <c r="G67" i="24"/>
  <c r="N41" i="24"/>
  <c r="N48" i="24"/>
  <c r="N43" i="24"/>
  <c r="N54" i="24"/>
  <c r="F75" i="24"/>
  <c r="O53" i="24"/>
  <c r="O51" i="24"/>
  <c r="P41" i="24"/>
  <c r="P52" i="24"/>
  <c r="F69" i="24"/>
  <c r="F81" i="24"/>
  <c r="O42" i="24"/>
  <c r="P49" i="24"/>
  <c r="F68" i="24"/>
  <c r="O52" i="24"/>
  <c r="P43" i="24"/>
  <c r="G68" i="24"/>
  <c r="M59" i="24"/>
  <c r="N44" i="24"/>
  <c r="G71" i="24"/>
  <c r="O44" i="24"/>
  <c r="P55" i="24"/>
  <c r="P48" i="24"/>
  <c r="N42" i="24"/>
  <c r="P50" i="24"/>
  <c r="P57" i="24"/>
  <c r="F70" i="24"/>
  <c r="N50" i="24"/>
  <c r="O48" i="24"/>
  <c r="N57" i="24"/>
  <c r="G78" i="24"/>
  <c r="G69" i="24"/>
  <c r="O54" i="24"/>
  <c r="N45" i="24"/>
  <c r="F79" i="24"/>
  <c r="F63" i="24"/>
  <c r="P47" i="24"/>
  <c r="F74" i="24"/>
  <c r="N53" i="24"/>
  <c r="P40" i="24"/>
  <c r="F78" i="24"/>
  <c r="F71" i="24"/>
  <c r="N46" i="24"/>
  <c r="G54" i="24" l="1"/>
  <c r="G43" i="24"/>
  <c r="G58" i="24"/>
  <c r="G45" i="24"/>
  <c r="G49" i="24"/>
  <c r="G47" i="24"/>
  <c r="G50" i="24"/>
  <c r="G42" i="24"/>
  <c r="G51" i="24"/>
  <c r="G55" i="24"/>
  <c r="G53" i="24"/>
  <c r="G46" i="24"/>
  <c r="G57" i="24"/>
  <c r="F59" i="24"/>
  <c r="G56" i="24"/>
  <c r="O59" i="24"/>
  <c r="G48" i="24"/>
  <c r="G44" i="24"/>
  <c r="G40" i="24"/>
  <c r="E59" i="24"/>
  <c r="G52" i="24"/>
  <c r="P59" i="24"/>
  <c r="N59" i="24"/>
  <c r="I48" i="24" l="1"/>
  <c r="E63" i="24"/>
  <c r="D75" i="24"/>
  <c r="E75" i="24"/>
  <c r="J41" i="24"/>
  <c r="H40" i="24"/>
  <c r="H48" i="24"/>
  <c r="H56" i="24"/>
  <c r="I44" i="24"/>
  <c r="H44" i="24"/>
  <c r="J51" i="24"/>
  <c r="J50" i="24"/>
  <c r="E79" i="24"/>
  <c r="J49" i="24"/>
  <c r="I46" i="24"/>
  <c r="I42" i="24"/>
  <c r="H55" i="24"/>
  <c r="I58" i="24"/>
  <c r="D74" i="24"/>
  <c r="D78" i="24"/>
  <c r="J40" i="24"/>
  <c r="I41" i="24"/>
  <c r="H51" i="24"/>
  <c r="I54" i="24"/>
  <c r="G59" i="24"/>
  <c r="D80" i="24"/>
  <c r="H47" i="24"/>
  <c r="E78" i="24"/>
  <c r="I53" i="24"/>
  <c r="D69" i="24"/>
  <c r="D70" i="24"/>
  <c r="E65" i="24"/>
  <c r="I49" i="24"/>
  <c r="I55" i="24"/>
  <c r="H53" i="24"/>
  <c r="E76" i="24"/>
  <c r="E72" i="24"/>
  <c r="H57" i="24"/>
  <c r="E77" i="24"/>
  <c r="H46" i="24"/>
  <c r="D76" i="24"/>
  <c r="E80" i="24"/>
  <c r="E81" i="24"/>
  <c r="E64" i="24"/>
  <c r="I57" i="24"/>
  <c r="E69" i="24"/>
  <c r="H42" i="24"/>
  <c r="I45" i="24"/>
  <c r="J57" i="24"/>
  <c r="E73" i="24"/>
  <c r="H43" i="24"/>
  <c r="D64" i="24"/>
  <c r="I47" i="24"/>
  <c r="H50" i="24"/>
  <c r="I43" i="24"/>
  <c r="D65" i="24"/>
  <c r="E68" i="24"/>
  <c r="D72" i="24"/>
  <c r="D68" i="24"/>
  <c r="E74" i="24"/>
  <c r="J46" i="24"/>
  <c r="D66" i="24"/>
  <c r="J53" i="24"/>
  <c r="J55" i="24"/>
  <c r="I50" i="24"/>
  <c r="H41" i="24"/>
  <c r="D81" i="24"/>
  <c r="E70" i="24"/>
  <c r="D73" i="24"/>
  <c r="E66" i="24"/>
  <c r="D77" i="24"/>
  <c r="H49" i="24"/>
  <c r="H45" i="24"/>
  <c r="I51" i="24"/>
  <c r="H58" i="24"/>
  <c r="H54" i="24"/>
  <c r="J47" i="24"/>
  <c r="D67" i="24"/>
  <c r="J48" i="24"/>
  <c r="J43" i="24"/>
  <c r="J56" i="24"/>
  <c r="I52" i="24"/>
  <c r="I40" i="24"/>
  <c r="I56" i="24"/>
  <c r="H52" i="24"/>
  <c r="D63" i="24"/>
  <c r="J44" i="24"/>
  <c r="D71" i="24"/>
  <c r="J42" i="24"/>
  <c r="J45" i="24"/>
  <c r="D79" i="24"/>
  <c r="J54" i="24"/>
  <c r="J58" i="24"/>
  <c r="E71" i="24"/>
  <c r="J52" i="24"/>
  <c r="E67" i="24"/>
  <c r="H59" i="24" l="1"/>
  <c r="I59" i="24"/>
  <c r="J59" i="24"/>
  <c r="O60" i="70" l="1"/>
  <c r="O56" i="70"/>
  <c r="O54" i="70"/>
  <c r="O47" i="70" l="1"/>
  <c r="O52" i="70"/>
  <c r="O51" i="70"/>
  <c r="O59" i="70"/>
  <c r="O48" i="70"/>
  <c r="O55" i="70"/>
  <c r="O49" i="70"/>
  <c r="O53" i="70"/>
  <c r="O46" i="70"/>
  <c r="O57" i="70"/>
  <c r="O50" i="70"/>
  <c r="O45" i="70"/>
  <c r="O58" i="70"/>
  <c r="O61" i="70"/>
  <c r="B38" i="70"/>
  <c r="L40" i="70"/>
  <c r="J38" i="70"/>
  <c r="D40" i="70"/>
  <c r="O44" i="70"/>
  <c r="O43" i="70" l="1"/>
  <c r="O62" i="70"/>
  <c r="L54" i="70"/>
  <c r="M61" i="70" l="1"/>
  <c r="L62" i="70"/>
  <c r="M56" i="70"/>
  <c r="L59" i="70"/>
  <c r="L50" i="70"/>
  <c r="L51" i="70"/>
  <c r="M50" i="70"/>
  <c r="L57" i="70"/>
  <c r="M48" i="70"/>
  <c r="L52" i="70"/>
  <c r="M55" i="70"/>
  <c r="L53" i="70"/>
  <c r="L44" i="70"/>
  <c r="L61" i="70"/>
  <c r="M52" i="70"/>
  <c r="L49" i="70"/>
  <c r="M43" i="70"/>
  <c r="M44" i="70"/>
  <c r="P50" i="70"/>
  <c r="M51" i="70"/>
  <c r="M59" i="70"/>
  <c r="L45" i="70"/>
  <c r="L46" i="70"/>
  <c r="M49" i="70"/>
  <c r="L43" i="70"/>
  <c r="L60" i="70"/>
  <c r="L48" i="70"/>
  <c r="L56" i="70"/>
  <c r="L55" i="70"/>
  <c r="M60" i="70"/>
  <c r="L58" i="70"/>
  <c r="L47" i="70"/>
  <c r="M46" i="70" l="1"/>
  <c r="P62" i="70"/>
  <c r="M62" i="70"/>
  <c r="M47" i="70"/>
  <c r="P43" i="70"/>
  <c r="P53" i="70"/>
  <c r="M58" i="70"/>
  <c r="P49" i="70"/>
  <c r="P57" i="70"/>
  <c r="P47" i="70"/>
  <c r="P52" i="70"/>
  <c r="P59" i="70"/>
  <c r="P60" i="70"/>
  <c r="M53" i="70"/>
  <c r="P54" i="70"/>
  <c r="P51" i="70"/>
  <c r="M57" i="70"/>
  <c r="P44" i="70"/>
  <c r="M45" i="70"/>
  <c r="P58" i="70"/>
  <c r="M54" i="70"/>
  <c r="P56" i="70"/>
  <c r="P48" i="70"/>
  <c r="P55" i="70"/>
  <c r="P46" i="70"/>
  <c r="P61" i="70"/>
  <c r="P45" i="70"/>
  <c r="H56" i="70" l="1"/>
  <c r="H46" i="70"/>
  <c r="H45" i="70"/>
  <c r="H48" i="70"/>
  <c r="H58" i="70"/>
  <c r="D51" i="70"/>
  <c r="E50" i="70"/>
  <c r="D61" i="70"/>
  <c r="E49" i="70"/>
  <c r="E46" i="70"/>
  <c r="D55" i="70"/>
  <c r="E61" i="70"/>
  <c r="E56" i="70"/>
  <c r="D44" i="70"/>
  <c r="D60" i="70"/>
  <c r="G58" i="70"/>
  <c r="G54" i="70"/>
  <c r="G50" i="70"/>
  <c r="G46" i="70"/>
  <c r="G61" i="70"/>
  <c r="G57" i="70"/>
  <c r="G56" i="70"/>
  <c r="G53" i="70"/>
  <c r="G45" i="70"/>
  <c r="G49" i="70"/>
  <c r="G47" i="70"/>
  <c r="G55" i="70"/>
  <c r="G48" i="70"/>
  <c r="G44" i="70"/>
  <c r="G60" i="70"/>
  <c r="G51" i="70"/>
  <c r="G59" i="70"/>
  <c r="G52" i="70"/>
  <c r="H50" i="70"/>
  <c r="E53" i="70"/>
  <c r="D49" i="70"/>
  <c r="D58" i="70"/>
  <c r="H44" i="70"/>
  <c r="H59" i="70"/>
  <c r="E58" i="70"/>
  <c r="D45" i="70"/>
  <c r="E59" i="70"/>
  <c r="H51" i="70"/>
  <c r="H54" i="70"/>
  <c r="E48" i="70"/>
  <c r="E44" i="70"/>
  <c r="D54" i="70"/>
  <c r="H57" i="70"/>
  <c r="D46" i="70"/>
  <c r="D47" i="70"/>
  <c r="E60" i="70"/>
  <c r="H52" i="70"/>
  <c r="H53" i="70"/>
  <c r="E52" i="70"/>
  <c r="E51" i="70"/>
  <c r="D56" i="70"/>
  <c r="H55" i="70"/>
  <c r="E54" i="70"/>
  <c r="E45" i="70"/>
  <c r="D50" i="70"/>
  <c r="H47" i="70"/>
  <c r="E55" i="70"/>
  <c r="D52" i="70"/>
  <c r="D53" i="70"/>
  <c r="H61" i="70"/>
  <c r="E57" i="70"/>
  <c r="H60" i="70"/>
  <c r="D57" i="70"/>
  <c r="D59" i="70"/>
  <c r="E47" i="70"/>
  <c r="D48" i="70"/>
  <c r="H49" i="70"/>
  <c r="H43" i="70" l="1"/>
  <c r="H62" i="70"/>
  <c r="G43" i="70"/>
  <c r="G62" i="70"/>
  <c r="E43" i="70"/>
  <c r="E62" i="70"/>
  <c r="D43" i="70"/>
  <c r="D62" i="70"/>
</calcChain>
</file>

<file path=xl/sharedStrings.xml><?xml version="1.0" encoding="utf-8"?>
<sst xmlns="http://schemas.openxmlformats.org/spreadsheetml/2006/main" count="559" uniqueCount="259">
  <si>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</si>
  <si>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</si>
  <si>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</si>
  <si>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</si>
  <si>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</si>
  <si>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</si>
  <si>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</si>
  <si>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</si>
  <si>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</si>
  <si>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</si>
  <si>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</si>
  <si>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</si>
  <si>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</si>
  <si>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</si>
  <si>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</si>
  <si>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</si>
  <si>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</si>
  <si>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</si>
  <si>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</si>
  <si>
    <t>Wales</t>
  </si>
  <si>
    <t>Area</t>
  </si>
  <si>
    <t>Betsi Cadwaladr UHB</t>
  </si>
  <si>
    <t>NN</t>
  </si>
  <si>
    <t>Powys tHB</t>
  </si>
  <si>
    <t>Hywel Dda UHB</t>
  </si>
  <si>
    <t>Cwm Taf UHB</t>
  </si>
  <si>
    <t>Aneurin Bevan UHB</t>
  </si>
  <si>
    <t>NA</t>
  </si>
  <si>
    <t>Isle of Anglesey</t>
  </si>
  <si>
    <t>NC</t>
  </si>
  <si>
    <t>Gwynedd</t>
  </si>
  <si>
    <t>NE</t>
  </si>
  <si>
    <t>Conwy</t>
  </si>
  <si>
    <t>NG</t>
  </si>
  <si>
    <t>Denbighshire</t>
  </si>
  <si>
    <t>NJ</t>
  </si>
  <si>
    <t>Flintshire</t>
  </si>
  <si>
    <t>NL</t>
  </si>
  <si>
    <t>Wrexham</t>
  </si>
  <si>
    <t>Powys</t>
  </si>
  <si>
    <t>NQ</t>
  </si>
  <si>
    <t>Ceredigion</t>
  </si>
  <si>
    <t>NS</t>
  </si>
  <si>
    <t>Pembrokeshire</t>
  </si>
  <si>
    <t>NU</t>
  </si>
  <si>
    <t>Carmarthenshire</t>
  </si>
  <si>
    <t>NX</t>
  </si>
  <si>
    <t>Swansea</t>
  </si>
  <si>
    <t>NZ</t>
  </si>
  <si>
    <t>Neath Port Talbot</t>
  </si>
  <si>
    <t>PB</t>
  </si>
  <si>
    <t>Bridgend</t>
  </si>
  <si>
    <t>PD</t>
  </si>
  <si>
    <t>Vale of Glamorgan</t>
  </si>
  <si>
    <t>PT</t>
  </si>
  <si>
    <t>Cardiff</t>
  </si>
  <si>
    <t>PF</t>
  </si>
  <si>
    <t>Rhondda Cynon Taf</t>
  </si>
  <si>
    <t>PH</t>
  </si>
  <si>
    <t>Merthyr Tydfil</t>
  </si>
  <si>
    <t>PK</t>
  </si>
  <si>
    <t>Caerphilly</t>
  </si>
  <si>
    <t>PL</t>
  </si>
  <si>
    <t>Blaenau Gwent</t>
  </si>
  <si>
    <t>PM</t>
  </si>
  <si>
    <t>Torfaen</t>
  </si>
  <si>
    <t>PP</t>
  </si>
  <si>
    <t>Monmouthshire</t>
  </si>
  <si>
    <t>PR</t>
  </si>
  <si>
    <t>Newport</t>
  </si>
  <si>
    <t>ua_code</t>
  </si>
  <si>
    <t xml:space="preserve">   Swansea</t>
  </si>
  <si>
    <t xml:space="preserve">   Neath Port Talbot</t>
  </si>
  <si>
    <t xml:space="preserve">   Bridgend</t>
  </si>
  <si>
    <t xml:space="preserve">   Cardiff</t>
  </si>
  <si>
    <t xml:space="preserve">   Rhondda Cynon Taf</t>
  </si>
  <si>
    <t xml:space="preserve">   Merthyr Tydfil</t>
  </si>
  <si>
    <t xml:space="preserve">   Caerphilly</t>
  </si>
  <si>
    <t xml:space="preserve">   Blaenau Gwent</t>
  </si>
  <si>
    <t xml:space="preserve">   Torfaen</t>
  </si>
  <si>
    <t xml:space="preserve">   Monmouthshire</t>
  </si>
  <si>
    <t xml:space="preserve">   Newport</t>
  </si>
  <si>
    <t>Males</t>
  </si>
  <si>
    <t>Females</t>
  </si>
  <si>
    <t>Cardiff and Vale UHB</t>
  </si>
  <si>
    <t>Age</t>
  </si>
  <si>
    <t>ABM UHB</t>
  </si>
  <si>
    <t>Produced by Public Health Wales Observatory, using MYE (ONS)</t>
  </si>
  <si>
    <t>Powys THB</t>
  </si>
  <si>
    <t>Age group</t>
  </si>
  <si>
    <t>% Males</t>
  </si>
  <si>
    <t>% Females</t>
  </si>
  <si>
    <t>Links for list- 2014 snapshot</t>
  </si>
  <si>
    <t>Pyramid title</t>
  </si>
  <si>
    <t>Pyramid legend</t>
  </si>
  <si>
    <t>Wales Males</t>
  </si>
  <si>
    <t>Wales Females</t>
  </si>
  <si>
    <t>Table titles</t>
  </si>
  <si>
    <t>Area_Lookup</t>
  </si>
  <si>
    <t>Age Band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</si>
  <si>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</si>
  <si>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</si>
  <si>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</si>
  <si>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</si>
  <si>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</si>
  <si>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</si>
  <si>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</si>
  <si>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</si>
  <si>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</si>
  <si>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</si>
  <si>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</si>
  <si>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</si>
  <si>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</si>
  <si>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</si>
  <si>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</si>
  <si>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</si>
  <si>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Dummy Field</t>
  </si>
  <si>
    <t>Area_Male</t>
  </si>
  <si>
    <t>Area_Female</t>
  </si>
  <si>
    <t>00-04</t>
  </si>
  <si>
    <t>05-09</t>
  </si>
  <si>
    <t>90+</t>
  </si>
  <si>
    <t>Wales_Lookup</t>
  </si>
  <si>
    <t>Area_Male_Pop</t>
  </si>
  <si>
    <t>Area_Female_Pop</t>
  </si>
  <si>
    <t>Area_Total_Pop</t>
  </si>
  <si>
    <t>Area_Male_%</t>
  </si>
  <si>
    <t>Area_Female_%</t>
  </si>
  <si>
    <t>Area_Total_%</t>
  </si>
  <si>
    <t>Wales_Male_Pop</t>
  </si>
  <si>
    <t>Wales_Female_Pop</t>
  </si>
  <si>
    <t>Wales_Total_Pop</t>
  </si>
  <si>
    <t>Wales_Male_%</t>
  </si>
  <si>
    <t>Wales_Female_%</t>
  </si>
  <si>
    <t>Wales_Total_%</t>
  </si>
  <si>
    <t>Wales_Male</t>
  </si>
  <si>
    <t>Wales_Female</t>
  </si>
  <si>
    <t>Axis</t>
  </si>
  <si>
    <t>Code</t>
  </si>
  <si>
    <t>M_00_04</t>
  </si>
  <si>
    <t>M_05_09</t>
  </si>
  <si>
    <t>M_10_14</t>
  </si>
  <si>
    <t>M_15_19</t>
  </si>
  <si>
    <t>M_20_24</t>
  </si>
  <si>
    <t>M_25_29</t>
  </si>
  <si>
    <t>M_30_34</t>
  </si>
  <si>
    <t>M_35_39</t>
  </si>
  <si>
    <t>M_40_44</t>
  </si>
  <si>
    <t>M_45_49</t>
  </si>
  <si>
    <t>M_50_54</t>
  </si>
  <si>
    <t>M_55_59</t>
  </si>
  <si>
    <t>M_60_64</t>
  </si>
  <si>
    <t>M_65_69</t>
  </si>
  <si>
    <t>M_70_74</t>
  </si>
  <si>
    <t>M_75-79</t>
  </si>
  <si>
    <t>M_80-84</t>
  </si>
  <si>
    <t>M_85_89</t>
  </si>
  <si>
    <t>M_90+</t>
  </si>
  <si>
    <t>M_all</t>
  </si>
  <si>
    <t>F_00_04</t>
  </si>
  <si>
    <t>F_05_09</t>
  </si>
  <si>
    <t>F_10_14</t>
  </si>
  <si>
    <t>F_15_19</t>
  </si>
  <si>
    <t>F_20_24</t>
  </si>
  <si>
    <t>F_25_29</t>
  </si>
  <si>
    <t>F_30_34</t>
  </si>
  <si>
    <t>F_35_39</t>
  </si>
  <si>
    <t>F_40_44</t>
  </si>
  <si>
    <t>F_45_49</t>
  </si>
  <si>
    <t>F_50_54</t>
  </si>
  <si>
    <t>F_55_59</t>
  </si>
  <si>
    <t>F_60_64</t>
  </si>
  <si>
    <t>F_65_69</t>
  </si>
  <si>
    <t>F_70_74</t>
  </si>
  <si>
    <t>F_75-79</t>
  </si>
  <si>
    <t>F_80-84</t>
  </si>
  <si>
    <t>F_85_89</t>
  </si>
  <si>
    <t>F_90+</t>
  </si>
  <si>
    <t>F_all</t>
  </si>
  <si>
    <t>T_00_04</t>
  </si>
  <si>
    <t>T_05_09</t>
  </si>
  <si>
    <t>T_10_14</t>
  </si>
  <si>
    <t>T_15_19</t>
  </si>
  <si>
    <t>T_20_24</t>
  </si>
  <si>
    <t>T_25_29</t>
  </si>
  <si>
    <t>T_30_34</t>
  </si>
  <si>
    <t>T_35_39</t>
  </si>
  <si>
    <t>T_40_44</t>
  </si>
  <si>
    <t>T_45_49</t>
  </si>
  <si>
    <t>T_50_54</t>
  </si>
  <si>
    <t>T_55_59</t>
  </si>
  <si>
    <t>T_60_64</t>
  </si>
  <si>
    <t>T_65_69</t>
  </si>
  <si>
    <t>T_70_74</t>
  </si>
  <si>
    <t>T_75-79</t>
  </si>
  <si>
    <t>T_80-84</t>
  </si>
  <si>
    <t>T_85_89</t>
  </si>
  <si>
    <t>T_90+</t>
  </si>
  <si>
    <t>T_all</t>
  </si>
  <si>
    <t>Wales health boards and local authorities</t>
  </si>
  <si>
    <t>All ages</t>
  </si>
  <si>
    <t xml:space="preserve">PYRAMIDS </t>
  </si>
  <si>
    <t xml:space="preserve">  Isle of Anglesey</t>
  </si>
  <si>
    <t xml:space="preserve">  Gwynedd</t>
  </si>
  <si>
    <t xml:space="preserve">  Conwy</t>
  </si>
  <si>
    <t xml:space="preserve">  Denbighshire</t>
  </si>
  <si>
    <t xml:space="preserve">  Flintshire</t>
  </si>
  <si>
    <t xml:space="preserve">  Wrexham</t>
  </si>
  <si>
    <t xml:space="preserve">  Ceredigion</t>
  </si>
  <si>
    <t xml:space="preserve">  Pembrokeshire</t>
  </si>
  <si>
    <t xml:space="preserve">  Carmarthenshire</t>
  </si>
  <si>
    <t xml:space="preserve">  Vale of Glamorgan</t>
  </si>
  <si>
    <t>Numbers have been calculated using unrounded data, then rounded to the nearest 100.</t>
  </si>
  <si>
    <t xml:space="preserve">                                                                                                                     </t>
  </si>
  <si>
    <t>Total Pop</t>
  </si>
  <si>
    <t>0_4</t>
  </si>
  <si>
    <t>5_9</t>
  </si>
  <si>
    <t>10_14</t>
  </si>
  <si>
    <t>15_19</t>
  </si>
  <si>
    <t>20_24</t>
  </si>
  <si>
    <t>25_29</t>
  </si>
  <si>
    <t>30_34</t>
  </si>
  <si>
    <t>35_39</t>
  </si>
  <si>
    <t>40_44</t>
  </si>
  <si>
    <t>45_49</t>
  </si>
  <si>
    <t>50_54</t>
  </si>
  <si>
    <t>55_59</t>
  </si>
  <si>
    <t>60_64</t>
  </si>
  <si>
    <t>65_69</t>
  </si>
  <si>
    <t>70_74</t>
  </si>
  <si>
    <t>75_79</t>
  </si>
  <si>
    <t>80_84</t>
  </si>
  <si>
    <t>85_89</t>
  </si>
  <si>
    <t>Male Populaiton</t>
  </si>
  <si>
    <t>Female Population</t>
  </si>
  <si>
    <t>2015 data</t>
  </si>
  <si>
    <t>Data 2015 snapshot</t>
  </si>
  <si>
    <t>Pyramid Data snap shot 2015</t>
  </si>
  <si>
    <t>TOPIC:</t>
  </si>
  <si>
    <t>SUBJECT:</t>
  </si>
  <si>
    <t>SOURCE:</t>
  </si>
  <si>
    <t>GEOGRAPHY:</t>
  </si>
  <si>
    <t>PERIOD:</t>
  </si>
  <si>
    <t>DEMOGRAPHY:</t>
  </si>
  <si>
    <t>STATISTICS:</t>
  </si>
  <si>
    <t>CONTACT:</t>
  </si>
  <si>
    <t>NOTES:</t>
  </si>
  <si>
    <t>© 2016 Public Health Wales NHS Trust</t>
  </si>
  <si>
    <t xml:space="preserve">Material contained in this file may be reproduced without prior permission provided it is done so accurately and is not used in a misleading context. Acknowledgement to Public Health Wales NHS Trust to be stated. </t>
  </si>
  <si>
    <t>Typographical arrangement, design and layout copyright belong to Public Health Wales NHS Trust.</t>
  </si>
  <si>
    <t>Population</t>
  </si>
  <si>
    <t>Age structure of health boards and local authorities</t>
  </si>
  <si>
    <t>Mid-year population estimates, Office for National Statistics (ONS)</t>
  </si>
  <si>
    <t>Males and females by quinary age band</t>
  </si>
  <si>
    <t>Counts; percentage of total population by quinary age band</t>
  </si>
  <si>
    <t>http://www.ons.gov.uk/peoplepopulationandcommunity/populationandmigration/populationestimates/bulletins/annualmidyearpopulationestimates/mid2015</t>
  </si>
  <si>
    <t>Further information on population estimates can be found here:</t>
  </si>
  <si>
    <t>Lookup from Pyramid tab 2015 snapshot</t>
  </si>
  <si>
    <t>publichealthwalesobservatory@wales.nhs.uk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</si>
</sst>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[&gt;0.5]#,##0;[&lt;-0.5]\-#,##0;\-"/>
    <numFmt numFmtId="166" formatCode="#,##0_);;&quot;- &quot;_);@_)\ "/>
    <numFmt numFmtId="167" formatCode="_(General"/>
    <numFmt numFmtId="168" formatCode="0.0"/>
    <numFmt numFmtId="169" formatCode="General_)"/>
    <numFmt numFmtId="170" formatCode="0.00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rgb="FF00008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0"/>
      <name val="Verdana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9"/>
      <name val="Verdana"/>
      <family val="2"/>
    </font>
    <font>
      <sz val="11"/>
      <color rgb="FF000000"/>
      <name val="Calibri"/>
      <family val="2"/>
    </font>
    <font>
      <sz val="9"/>
      <color theme="1"/>
      <name val="Verdana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Verdana"/>
      <family val="2"/>
    </font>
    <font>
      <sz val="9"/>
      <color rgb="FF000080"/>
      <name val="Verdana"/>
      <family val="2"/>
    </font>
    <font>
      <sz val="8"/>
      <color rgb="FF000080"/>
      <name val="Verdana"/>
      <family val="2"/>
    </font>
    <font>
      <sz val="10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name val="Times New Roman"/>
      <family val="1"/>
    </font>
    <font>
      <u/>
      <sz val="9.9"/>
      <color theme="10"/>
      <name val="Calibri"/>
      <family val="2"/>
    </font>
    <font>
      <u/>
      <sz val="8.8000000000000007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CG Time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9"/>
      <color theme="10"/>
      <name val="Verdana"/>
      <family val="2"/>
    </font>
    <font>
      <u/>
      <sz val="10"/>
      <color indexed="12"/>
      <name val="Helvetica"/>
    </font>
    <font>
      <u/>
      <sz val="7.5"/>
      <color indexed="12"/>
      <name val="Arial"/>
      <family val="2"/>
    </font>
    <font>
      <u/>
      <sz val="12"/>
      <color indexed="12"/>
      <name val="Arial"/>
      <family val="2"/>
    </font>
    <font>
      <u/>
      <sz val="10"/>
      <color indexed="12"/>
      <name val="MS Sans Serif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indexed="62"/>
      <name val="Calibri"/>
      <family val="2"/>
    </font>
    <font>
      <sz val="10"/>
      <color indexed="1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3"/>
      <name val="Times New Roman"/>
      <family val="1"/>
    </font>
    <font>
      <b/>
      <sz val="11"/>
      <color indexed="63"/>
      <name val="Calibri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4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sz val="11"/>
      <color indexed="10"/>
      <name val="Calibri"/>
      <family val="2"/>
    </font>
    <font>
      <b/>
      <sz val="9"/>
      <color rgb="FF000080"/>
      <name val="Verdana"/>
      <family val="2"/>
    </font>
    <font>
      <b/>
      <sz val="10"/>
      <color theme="0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0"/>
      <color rgb="FF000080"/>
      <name val="Arial"/>
      <family val="2"/>
    </font>
    <font>
      <sz val="11"/>
      <color rgb="FF296C9F"/>
      <name val="Arial"/>
      <family val="2"/>
    </font>
    <font>
      <sz val="10"/>
      <color theme="0" tint="-0.499984740745262"/>
      <name val="Arial"/>
      <family val="2"/>
    </font>
    <font>
      <b/>
      <sz val="16"/>
      <color rgb="FF7030A0"/>
      <name val="Arial"/>
      <family val="2"/>
    </font>
    <font>
      <sz val="10"/>
      <color theme="0" tint="-0.249977111117893"/>
      <name val="Arial"/>
      <family val="2"/>
    </font>
    <font>
      <b/>
      <sz val="10"/>
      <color rgb="FF000080"/>
      <name val="Verdana"/>
      <family val="2"/>
    </font>
    <font>
      <sz val="10"/>
      <color rgb="FFFF0000"/>
      <name val="Arial"/>
      <family val="2"/>
    </font>
    <font>
      <u/>
      <sz val="10"/>
      <color indexed="12"/>
      <name val="Verdana"/>
      <family val="2"/>
    </font>
    <font>
      <b/>
      <sz val="10"/>
      <color rgb="FF266492"/>
      <name val="Verdana"/>
      <family val="2"/>
    </font>
    <font>
      <b/>
      <sz val="10"/>
      <color rgb="FFFF0000"/>
      <name val="Verdana"/>
      <family val="2"/>
    </font>
    <font>
      <b/>
      <sz val="10"/>
      <color indexed="10"/>
      <name val="Verdana"/>
      <family val="2"/>
    </font>
    <font>
      <b/>
      <sz val="11"/>
      <name val="Verdana"/>
      <family val="2"/>
    </font>
    <font>
      <b/>
      <u/>
      <sz val="10"/>
      <color theme="10"/>
      <name val="Verdana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95DF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rgb="FF000080"/>
      </bottom>
      <diagonal/>
    </border>
    <border>
      <left/>
      <right/>
      <top style="thin">
        <color rgb="FF00008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 style="medium">
        <color auto="1"/>
      </left>
      <right/>
      <top style="medium">
        <color rgb="FF7030A0"/>
      </top>
      <bottom/>
      <diagonal/>
    </border>
    <border>
      <left/>
      <right style="medium">
        <color auto="1"/>
      </right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/>
      <right style="medium">
        <color rgb="FF7030A0"/>
      </right>
      <top/>
      <bottom/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/>
      <right style="thin">
        <color indexed="9"/>
      </right>
      <top/>
      <bottom/>
      <diagonal/>
    </border>
    <border>
      <left/>
      <right/>
      <top style="thin">
        <color auto="1"/>
      </top>
      <bottom/>
      <diagonal/>
    </border>
  </borders>
  <cellStyleXfs count="2491">
    <xf numFmtId="0" fontId="0" fillId="0" borderId="0"/>
    <xf numFmtId="0" fontId="2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9" fillId="0" borderId="0"/>
    <xf numFmtId="0" fontId="14" fillId="0" borderId="0" applyNumberForma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2" fillId="0" borderId="0"/>
    <xf numFmtId="0" fontId="2" fillId="0" borderId="0"/>
    <xf numFmtId="0" fontId="13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15" borderId="0" applyNumberFormat="0" applyBorder="0" applyAlignment="0" applyProtection="0"/>
    <xf numFmtId="0" fontId="1" fillId="3" borderId="0" applyNumberFormat="0" applyBorder="0" applyAlignment="0" applyProtection="0"/>
    <xf numFmtId="0" fontId="24" fillId="16" borderId="0" applyNumberFormat="0" applyBorder="0" applyAlignment="0" applyProtection="0"/>
    <xf numFmtId="0" fontId="1" fillId="5" borderId="0" applyNumberFormat="0" applyBorder="0" applyAlignment="0" applyProtection="0"/>
    <xf numFmtId="0" fontId="24" fillId="17" borderId="0" applyNumberFormat="0" applyBorder="0" applyAlignment="0" applyProtection="0"/>
    <xf numFmtId="0" fontId="1" fillId="7" borderId="0" applyNumberFormat="0" applyBorder="0" applyAlignment="0" applyProtection="0"/>
    <xf numFmtId="0" fontId="24" fillId="18" borderId="0" applyNumberFormat="0" applyBorder="0" applyAlignment="0" applyProtection="0"/>
    <xf numFmtId="0" fontId="1" fillId="9" borderId="0" applyNumberFormat="0" applyBorder="0" applyAlignment="0" applyProtection="0"/>
    <xf numFmtId="0" fontId="24" fillId="19" borderId="0" applyNumberFormat="0" applyBorder="0" applyAlignment="0" applyProtection="0"/>
    <xf numFmtId="0" fontId="1" fillId="11" borderId="0" applyNumberFormat="0" applyBorder="0" applyAlignment="0" applyProtection="0"/>
    <xf numFmtId="0" fontId="24" fillId="20" borderId="0" applyNumberFormat="0" applyBorder="0" applyAlignment="0" applyProtection="0"/>
    <xf numFmtId="0" fontId="1" fillId="13" borderId="0" applyNumberFormat="0" applyBorder="0" applyAlignment="0" applyProtection="0"/>
    <xf numFmtId="0" fontId="24" fillId="21" borderId="0" applyNumberFormat="0" applyBorder="0" applyAlignment="0" applyProtection="0"/>
    <xf numFmtId="0" fontId="1" fillId="4" borderId="0" applyNumberFormat="0" applyBorder="0" applyAlignment="0" applyProtection="0"/>
    <xf numFmtId="0" fontId="24" fillId="22" borderId="0" applyNumberFormat="0" applyBorder="0" applyAlignment="0" applyProtection="0"/>
    <xf numFmtId="0" fontId="1" fillId="6" borderId="0" applyNumberFormat="0" applyBorder="0" applyAlignment="0" applyProtection="0"/>
    <xf numFmtId="0" fontId="24" fillId="23" borderId="0" applyNumberFormat="0" applyBorder="0" applyAlignment="0" applyProtection="0"/>
    <xf numFmtId="0" fontId="1" fillId="8" borderId="0" applyNumberFormat="0" applyBorder="0" applyAlignment="0" applyProtection="0"/>
    <xf numFmtId="0" fontId="24" fillId="18" borderId="0" applyNumberFormat="0" applyBorder="0" applyAlignment="0" applyProtection="0"/>
    <xf numFmtId="0" fontId="1" fillId="10" borderId="0" applyNumberFormat="0" applyBorder="0" applyAlignment="0" applyProtection="0"/>
    <xf numFmtId="0" fontId="24" fillId="21" borderId="0" applyNumberFormat="0" applyBorder="0" applyAlignment="0" applyProtection="0"/>
    <xf numFmtId="0" fontId="1" fillId="12" borderId="0" applyNumberFormat="0" applyBorder="0" applyAlignment="0" applyProtection="0"/>
    <xf numFmtId="0" fontId="24" fillId="24" borderId="0" applyNumberFormat="0" applyBorder="0" applyAlignment="0" applyProtection="0"/>
    <xf numFmtId="0" fontId="1" fillId="14" borderId="0" applyNumberFormat="0" applyBorder="0" applyAlignment="0" applyProtection="0"/>
    <xf numFmtId="0" fontId="25" fillId="25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8" fillId="33" borderId="12" applyNumberFormat="0" applyAlignment="0" applyProtection="0"/>
    <xf numFmtId="0" fontId="28" fillId="33" borderId="12" applyNumberFormat="0" applyAlignment="0" applyProtection="0"/>
    <xf numFmtId="0" fontId="28" fillId="33" borderId="12" applyNumberFormat="0" applyAlignment="0" applyProtection="0"/>
    <xf numFmtId="0" fontId="28" fillId="33" borderId="12" applyNumberFormat="0" applyAlignment="0" applyProtection="0"/>
    <xf numFmtId="0" fontId="28" fillId="33" borderId="12" applyNumberFormat="0" applyAlignment="0" applyProtection="0"/>
    <xf numFmtId="0" fontId="28" fillId="33" borderId="12" applyNumberFormat="0" applyAlignment="0" applyProtection="0"/>
    <xf numFmtId="0" fontId="28" fillId="33" borderId="12" applyNumberFormat="0" applyAlignment="0" applyProtection="0"/>
    <xf numFmtId="0" fontId="29" fillId="34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/>
    <xf numFmtId="0" fontId="30" fillId="0" borderId="0"/>
    <xf numFmtId="0" fontId="31" fillId="0" borderId="0" applyNumberFormat="0" applyFill="0" applyBorder="0" applyAlignment="0" applyProtection="0"/>
    <xf numFmtId="0" fontId="32" fillId="17" borderId="0" applyNumberFormat="0" applyBorder="0" applyAlignment="0" applyProtection="0"/>
    <xf numFmtId="165" fontId="33" fillId="0" borderId="0">
      <alignment horizontal="left" vertical="center"/>
    </xf>
    <xf numFmtId="0" fontId="34" fillId="0" borderId="14" applyNumberFormat="0" applyFill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6" fillId="0" borderId="0" applyNumberFormat="0" applyFill="0" applyBorder="0" applyAlignment="0" applyProtection="0"/>
    <xf numFmtId="165" fontId="33" fillId="0" borderId="0">
      <alignment horizontal="left" vertical="center"/>
    </xf>
    <xf numFmtId="0" fontId="9" fillId="0" borderId="0"/>
    <xf numFmtId="0" fontId="9" fillId="0" borderId="0"/>
    <xf numFmtId="0" fontId="9" fillId="0" borderId="0" applyNumberFormat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4" fillId="20" borderId="12" applyNumberFormat="0" applyAlignment="0" applyProtection="0"/>
    <xf numFmtId="0" fontId="44" fillId="20" borderId="12" applyNumberFormat="0" applyAlignment="0" applyProtection="0"/>
    <xf numFmtId="0" fontId="44" fillId="20" borderId="12" applyNumberFormat="0" applyAlignment="0" applyProtection="0"/>
    <xf numFmtId="0" fontId="44" fillId="20" borderId="12" applyNumberFormat="0" applyAlignment="0" applyProtection="0"/>
    <xf numFmtId="0" fontId="44" fillId="20" borderId="12" applyNumberFormat="0" applyAlignment="0" applyProtection="0"/>
    <xf numFmtId="0" fontId="44" fillId="20" borderId="12" applyNumberFormat="0" applyAlignment="0" applyProtection="0"/>
    <xf numFmtId="0" fontId="44" fillId="20" borderId="12" applyNumberFormat="0" applyAlignment="0" applyProtection="0"/>
    <xf numFmtId="0" fontId="45" fillId="0" borderId="0" applyAlignment="0"/>
    <xf numFmtId="0" fontId="45" fillId="0" borderId="0" applyAlignment="0"/>
    <xf numFmtId="0" fontId="46" fillId="0" borderId="17" applyNumberFormat="0" applyFill="0" applyAlignment="0" applyProtection="0"/>
    <xf numFmtId="0" fontId="47" fillId="3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2" fillId="0" borderId="0"/>
    <xf numFmtId="0" fontId="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2" fillId="36" borderId="18" applyNumberFormat="0" applyFont="0" applyAlignment="0" applyProtection="0"/>
    <xf numFmtId="0" fontId="1" fillId="2" borderId="11" applyNumberFormat="0" applyFont="0" applyAlignment="0" applyProtection="0"/>
    <xf numFmtId="0" fontId="1" fillId="2" borderId="11" applyNumberFormat="0" applyFont="0" applyAlignment="0" applyProtection="0"/>
    <xf numFmtId="0" fontId="50" fillId="33" borderId="19" applyNumberFormat="0" applyAlignment="0" applyProtection="0"/>
    <xf numFmtId="0" fontId="50" fillId="33" borderId="19" applyNumberFormat="0" applyAlignment="0" applyProtection="0"/>
    <xf numFmtId="0" fontId="50" fillId="33" borderId="19" applyNumberFormat="0" applyAlignment="0" applyProtection="0"/>
    <xf numFmtId="0" fontId="50" fillId="33" borderId="19" applyNumberFormat="0" applyAlignment="0" applyProtection="0"/>
    <xf numFmtId="0" fontId="50" fillId="33" borderId="19" applyNumberFormat="0" applyAlignment="0" applyProtection="0"/>
    <xf numFmtId="0" fontId="50" fillId="33" borderId="19" applyNumberFormat="0" applyAlignment="0" applyProtection="0"/>
    <xf numFmtId="0" fontId="50" fillId="33" borderId="1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21" fillId="0" borderId="0" applyFill="0" applyBorder="0" applyAlignment="0" applyProtection="0"/>
    <xf numFmtId="0" fontId="2" fillId="0" borderId="0"/>
    <xf numFmtId="0" fontId="2" fillId="0" borderId="0"/>
    <xf numFmtId="0" fontId="2" fillId="0" borderId="0">
      <alignment textRotation="90"/>
    </xf>
    <xf numFmtId="0" fontId="2" fillId="0" borderId="0"/>
    <xf numFmtId="0" fontId="2" fillId="0" borderId="0"/>
    <xf numFmtId="166" fontId="51" fillId="0" borderId="20" applyFill="0" applyBorder="0" applyProtection="0">
      <alignment horizontal="right"/>
    </xf>
    <xf numFmtId="166" fontId="51" fillId="0" borderId="20" applyFill="0" applyBorder="0" applyProtection="0">
      <alignment horizontal="right"/>
    </xf>
    <xf numFmtId="0" fontId="52" fillId="0" borderId="0" applyNumberFormat="0" applyFill="0" applyBorder="0" applyProtection="0">
      <alignment horizontal="center" vertical="center" wrapText="1"/>
    </xf>
    <xf numFmtId="1" fontId="53" fillId="0" borderId="0" applyNumberFormat="0" applyFill="0" applyBorder="0" applyProtection="0">
      <alignment horizontal="right" vertical="top"/>
    </xf>
    <xf numFmtId="167" fontId="51" fillId="0" borderId="0" applyNumberFormat="0" applyFill="0" applyBorder="0" applyProtection="0">
      <alignment horizontal="left"/>
    </xf>
    <xf numFmtId="0" fontId="53" fillId="0" borderId="0" applyNumberFormat="0" applyFill="0" applyBorder="0" applyProtection="0">
      <alignment horizontal="left" vertical="top"/>
    </xf>
    <xf numFmtId="0" fontId="54" fillId="0" borderId="0"/>
    <xf numFmtId="0" fontId="2" fillId="0" borderId="0"/>
    <xf numFmtId="0" fontId="5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168" fontId="57" fillId="0" borderId="0"/>
    <xf numFmtId="0" fontId="9" fillId="0" borderId="0" applyFont="0"/>
    <xf numFmtId="169" fontId="58" fillId="0" borderId="0"/>
    <xf numFmtId="0" fontId="5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33" borderId="22" applyNumberFormat="0" applyAlignment="0" applyProtection="0"/>
    <xf numFmtId="0" fontId="28" fillId="33" borderId="22" applyNumberFormat="0" applyAlignment="0" applyProtection="0"/>
    <xf numFmtId="0" fontId="28" fillId="33" borderId="22" applyNumberFormat="0" applyAlignment="0" applyProtection="0"/>
    <xf numFmtId="0" fontId="28" fillId="33" borderId="22" applyNumberFormat="0" applyAlignment="0" applyProtection="0"/>
    <xf numFmtId="0" fontId="28" fillId="33" borderId="22" applyNumberFormat="0" applyAlignment="0" applyProtection="0"/>
    <xf numFmtId="0" fontId="28" fillId="33" borderId="22" applyNumberFormat="0" applyAlignment="0" applyProtection="0"/>
    <xf numFmtId="0" fontId="28" fillId="33" borderId="22" applyNumberFormat="0" applyAlignment="0" applyProtection="0"/>
    <xf numFmtId="0" fontId="44" fillId="20" borderId="22" applyNumberFormat="0" applyAlignment="0" applyProtection="0"/>
    <xf numFmtId="0" fontId="44" fillId="20" borderId="22" applyNumberFormat="0" applyAlignment="0" applyProtection="0"/>
    <xf numFmtId="0" fontId="44" fillId="20" borderId="22" applyNumberFormat="0" applyAlignment="0" applyProtection="0"/>
    <xf numFmtId="0" fontId="44" fillId="20" borderId="22" applyNumberFormat="0" applyAlignment="0" applyProtection="0"/>
    <xf numFmtId="0" fontId="44" fillId="20" borderId="22" applyNumberFormat="0" applyAlignment="0" applyProtection="0"/>
    <xf numFmtId="0" fontId="44" fillId="20" borderId="22" applyNumberFormat="0" applyAlignment="0" applyProtection="0"/>
    <xf numFmtId="0" fontId="44" fillId="20" borderId="22" applyNumberForma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2" fillId="36" borderId="23" applyNumberFormat="0" applyFont="0" applyAlignment="0" applyProtection="0"/>
    <xf numFmtId="0" fontId="50" fillId="33" borderId="24" applyNumberFormat="0" applyAlignment="0" applyProtection="0"/>
    <xf numFmtId="0" fontId="50" fillId="33" borderId="24" applyNumberFormat="0" applyAlignment="0" applyProtection="0"/>
    <xf numFmtId="0" fontId="50" fillId="33" borderId="24" applyNumberFormat="0" applyAlignment="0" applyProtection="0"/>
    <xf numFmtId="0" fontId="50" fillId="33" borderId="24" applyNumberFormat="0" applyAlignment="0" applyProtection="0"/>
    <xf numFmtId="0" fontId="50" fillId="33" borderId="24" applyNumberFormat="0" applyAlignment="0" applyProtection="0"/>
    <xf numFmtId="0" fontId="50" fillId="33" borderId="24" applyNumberFormat="0" applyAlignment="0" applyProtection="0"/>
    <xf numFmtId="0" fontId="50" fillId="33" borderId="24" applyNumberFormat="0" applyAlignment="0" applyProtection="0"/>
    <xf numFmtId="0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2" fillId="0" borderId="0"/>
    <xf numFmtId="0" fontId="3" fillId="0" borderId="0"/>
    <xf numFmtId="166" fontId="51" fillId="0" borderId="37" applyFill="0" applyBorder="0" applyProtection="0">
      <alignment horizontal="right"/>
    </xf>
    <xf numFmtId="0" fontId="13" fillId="0" borderId="0"/>
  </cellStyleXfs>
  <cellXfs count="162">
    <xf numFmtId="0" fontId="0" fillId="0" borderId="0" xfId="0"/>
    <xf numFmtId="0" fontId="20" fillId="0" borderId="0" xfId="0" applyFont="1"/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9" fillId="38" borderId="4" xfId="19" applyFont="1" applyFill="1" applyBorder="1"/>
    <xf numFmtId="0" fontId="9" fillId="38" borderId="0" xfId="19" applyFont="1" applyFill="1"/>
    <xf numFmtId="0" fontId="9" fillId="39" borderId="0" xfId="19" applyFont="1" applyFill="1"/>
    <xf numFmtId="0" fontId="2" fillId="0" borderId="0" xfId="398"/>
    <xf numFmtId="0" fontId="2" fillId="0" borderId="0" xfId="398" applyFill="1"/>
    <xf numFmtId="0" fontId="9" fillId="0" borderId="0" xfId="398" applyFont="1"/>
    <xf numFmtId="0" fontId="2" fillId="0" borderId="0" xfId="398" applyFont="1"/>
    <xf numFmtId="0" fontId="2" fillId="40" borderId="0" xfId="398" applyFill="1"/>
    <xf numFmtId="0" fontId="2" fillId="41" borderId="0" xfId="398" applyFill="1"/>
    <xf numFmtId="0" fontId="9" fillId="42" borderId="0" xfId="398" applyFont="1" applyFill="1"/>
    <xf numFmtId="0" fontId="9" fillId="0" borderId="0" xfId="19" applyFont="1"/>
    <xf numFmtId="0" fontId="9" fillId="0" borderId="0" xfId="19" applyFont="1" applyFill="1"/>
    <xf numFmtId="0" fontId="9" fillId="39" borderId="4" xfId="19" applyFont="1" applyFill="1" applyBorder="1"/>
    <xf numFmtId="0" fontId="10" fillId="0" borderId="0" xfId="398" applyFont="1"/>
    <xf numFmtId="0" fontId="2" fillId="0" borderId="4" xfId="398" applyFont="1" applyBorder="1"/>
    <xf numFmtId="0" fontId="2" fillId="43" borderId="0" xfId="398" applyFill="1"/>
    <xf numFmtId="0" fontId="9" fillId="43" borderId="0" xfId="398" applyFont="1" applyFill="1"/>
    <xf numFmtId="0" fontId="2" fillId="39" borderId="0" xfId="398" applyFill="1"/>
    <xf numFmtId="0" fontId="9" fillId="39" borderId="0" xfId="398" applyFont="1" applyFill="1"/>
    <xf numFmtId="0" fontId="2" fillId="38" borderId="0" xfId="398" applyFill="1"/>
    <xf numFmtId="0" fontId="9" fillId="38" borderId="0" xfId="398" applyFont="1" applyFill="1"/>
    <xf numFmtId="0" fontId="9" fillId="40" borderId="0" xfId="398" applyFont="1" applyFill="1"/>
    <xf numFmtId="0" fontId="2" fillId="44" borderId="0" xfId="398" applyFill="1"/>
    <xf numFmtId="0" fontId="9" fillId="44" borderId="0" xfId="398" applyFont="1" applyFill="1"/>
    <xf numFmtId="0" fontId="2" fillId="37" borderId="0" xfId="398" applyFill="1"/>
    <xf numFmtId="0" fontId="9" fillId="37" borderId="0" xfId="398" applyFont="1" applyFill="1"/>
    <xf numFmtId="0" fontId="9" fillId="41" borderId="0" xfId="398" applyFont="1" applyFill="1"/>
    <xf numFmtId="0" fontId="66" fillId="0" borderId="0" xfId="398" applyFont="1" applyFill="1"/>
    <xf numFmtId="0" fontId="61" fillId="0" borderId="0" xfId="0" applyFont="1" applyFill="1" applyBorder="1" applyAlignment="1">
      <alignment horizontal="center"/>
    </xf>
    <xf numFmtId="0" fontId="67" fillId="45" borderId="26" xfId="398" applyFont="1" applyFill="1" applyBorder="1"/>
    <xf numFmtId="0" fontId="9" fillId="45" borderId="27" xfId="398" applyFont="1" applyFill="1" applyBorder="1"/>
    <xf numFmtId="0" fontId="2" fillId="45" borderId="28" xfId="398" applyFill="1" applyBorder="1"/>
    <xf numFmtId="0" fontId="2" fillId="45" borderId="29" xfId="398" applyFill="1" applyBorder="1"/>
    <xf numFmtId="0" fontId="9" fillId="45" borderId="30" xfId="398" applyFont="1" applyFill="1" applyBorder="1"/>
    <xf numFmtId="0" fontId="2" fillId="45" borderId="31" xfId="398" applyFill="1" applyBorder="1"/>
    <xf numFmtId="0" fontId="2" fillId="45" borderId="4" xfId="398" applyFill="1" applyBorder="1"/>
    <xf numFmtId="0" fontId="2" fillId="45" borderId="5" xfId="398" applyFill="1" applyBorder="1"/>
    <xf numFmtId="0" fontId="2" fillId="45" borderId="0" xfId="398" applyFill="1" applyBorder="1"/>
    <xf numFmtId="0" fontId="9" fillId="45" borderId="0" xfId="398" applyFont="1" applyFill="1" applyBorder="1"/>
    <xf numFmtId="0" fontId="2" fillId="45" borderId="32" xfId="398" applyFill="1" applyBorder="1"/>
    <xf numFmtId="0" fontId="2" fillId="45" borderId="6" xfId="398" applyFill="1" applyBorder="1"/>
    <xf numFmtId="0" fontId="2" fillId="45" borderId="8" xfId="398" applyFill="1" applyBorder="1"/>
    <xf numFmtId="0" fontId="2" fillId="45" borderId="7" xfId="398" applyFill="1" applyBorder="1"/>
    <xf numFmtId="0" fontId="2" fillId="45" borderId="6" xfId="398" applyFill="1" applyBorder="1" applyAlignment="1"/>
    <xf numFmtId="0" fontId="2" fillId="45" borderId="8" xfId="398" applyFill="1" applyBorder="1" applyAlignment="1"/>
    <xf numFmtId="0" fontId="9" fillId="45" borderId="1" xfId="398" applyFont="1" applyFill="1" applyBorder="1"/>
    <xf numFmtId="0" fontId="2" fillId="45" borderId="3" xfId="398" applyFill="1" applyBorder="1"/>
    <xf numFmtId="0" fontId="9" fillId="45" borderId="3" xfId="398" applyFont="1" applyFill="1" applyBorder="1"/>
    <xf numFmtId="0" fontId="2" fillId="45" borderId="2" xfId="398" applyFill="1" applyBorder="1"/>
    <xf numFmtId="0" fontId="9" fillId="45" borderId="4" xfId="398" applyFont="1" applyFill="1" applyBorder="1"/>
    <xf numFmtId="168" fontId="9" fillId="45" borderId="0" xfId="398" applyNumberFormat="1" applyFont="1" applyFill="1" applyBorder="1"/>
    <xf numFmtId="0" fontId="9" fillId="45" borderId="5" xfId="398" applyFont="1" applyFill="1" applyBorder="1"/>
    <xf numFmtId="1" fontId="2" fillId="45" borderId="0" xfId="398" applyNumberFormat="1" applyFill="1" applyBorder="1"/>
    <xf numFmtId="168" fontId="2" fillId="45" borderId="0" xfId="398" applyNumberFormat="1" applyFill="1" applyBorder="1"/>
    <xf numFmtId="168" fontId="2" fillId="45" borderId="5" xfId="398" applyNumberFormat="1" applyFill="1" applyBorder="1"/>
    <xf numFmtId="0" fontId="9" fillId="45" borderId="6" xfId="398" applyFont="1" applyFill="1" applyBorder="1"/>
    <xf numFmtId="0" fontId="9" fillId="45" borderId="7" xfId="398" applyFont="1" applyFill="1" applyBorder="1"/>
    <xf numFmtId="168" fontId="2" fillId="45" borderId="7" xfId="398" applyNumberFormat="1" applyFill="1" applyBorder="1"/>
    <xf numFmtId="1" fontId="2" fillId="45" borderId="5" xfId="398" applyNumberFormat="1" applyFill="1" applyBorder="1"/>
    <xf numFmtId="1" fontId="2" fillId="45" borderId="8" xfId="398" applyNumberFormat="1" applyFill="1" applyBorder="1"/>
    <xf numFmtId="0" fontId="2" fillId="45" borderId="4" xfId="398" applyFont="1" applyFill="1" applyBorder="1"/>
    <xf numFmtId="49" fontId="9" fillId="45" borderId="0" xfId="398" applyNumberFormat="1" applyFont="1" applyFill="1" applyBorder="1"/>
    <xf numFmtId="168" fontId="2" fillId="45" borderId="8" xfId="398" applyNumberFormat="1" applyFill="1" applyBorder="1"/>
    <xf numFmtId="170" fontId="2" fillId="45" borderId="0" xfId="398" applyNumberFormat="1" applyFill="1" applyBorder="1"/>
    <xf numFmtId="0" fontId="2" fillId="45" borderId="33" xfId="398" applyFill="1" applyBorder="1"/>
    <xf numFmtId="0" fontId="2" fillId="45" borderId="34" xfId="398" applyFill="1" applyBorder="1"/>
    <xf numFmtId="0" fontId="2" fillId="45" borderId="35" xfId="398" applyFill="1" applyBorder="1"/>
    <xf numFmtId="0" fontId="20" fillId="0" borderId="0" xfId="0" applyFont="1" applyFill="1"/>
    <xf numFmtId="0" fontId="70" fillId="45" borderId="0" xfId="398" applyFont="1" applyFill="1" applyBorder="1"/>
    <xf numFmtId="168" fontId="70" fillId="45" borderId="0" xfId="398" applyNumberFormat="1" applyFont="1" applyFill="1" applyBorder="1"/>
    <xf numFmtId="0" fontId="6" fillId="0" borderId="0" xfId="3" applyAlignment="1" applyProtection="1">
      <protection hidden="1"/>
    </xf>
    <xf numFmtId="0" fontId="65" fillId="0" borderId="0" xfId="398" applyFont="1" applyFill="1" applyProtection="1">
      <protection hidden="1"/>
    </xf>
    <xf numFmtId="0" fontId="2" fillId="0" borderId="0" xfId="398" applyFill="1" applyProtection="1">
      <protection hidden="1"/>
    </xf>
    <xf numFmtId="0" fontId="2" fillId="0" borderId="0" xfId="398" applyProtection="1">
      <protection hidden="1"/>
    </xf>
    <xf numFmtId="0" fontId="11" fillId="0" borderId="0" xfId="398" applyFont="1" applyAlignment="1" applyProtection="1">
      <protection hidden="1"/>
    </xf>
    <xf numFmtId="0" fontId="2" fillId="0" borderId="0" xfId="398" applyAlignment="1" applyProtection="1">
      <alignment wrapText="1"/>
      <protection hidden="1"/>
    </xf>
    <xf numFmtId="0" fontId="63" fillId="0" borderId="0" xfId="398" applyFont="1" applyAlignment="1" applyProtection="1">
      <alignment vertical="top"/>
      <protection hidden="1"/>
    </xf>
    <xf numFmtId="0" fontId="69" fillId="0" borderId="0" xfId="0" applyFont="1" applyProtection="1">
      <protection hidden="1"/>
    </xf>
    <xf numFmtId="0" fontId="64" fillId="0" borderId="0" xfId="398" applyFont="1" applyProtection="1">
      <protection hidden="1"/>
    </xf>
    <xf numFmtId="0" fontId="60" fillId="0" borderId="0" xfId="398" applyFont="1" applyAlignment="1" applyProtection="1">
      <alignment vertical="center"/>
      <protection hidden="1"/>
    </xf>
    <xf numFmtId="0" fontId="68" fillId="0" borderId="0" xfId="398" applyFont="1" applyAlignment="1" applyProtection="1">
      <alignment horizontal="center"/>
      <protection hidden="1"/>
    </xf>
    <xf numFmtId="0" fontId="68" fillId="0" borderId="0" xfId="398" applyFont="1" applyProtection="1">
      <protection hidden="1"/>
    </xf>
    <xf numFmtId="0" fontId="60" fillId="0" borderId="0" xfId="398" applyFont="1" applyAlignment="1" applyProtection="1">
      <alignment horizontal="center"/>
      <protection hidden="1"/>
    </xf>
    <xf numFmtId="0" fontId="60" fillId="0" borderId="10" xfId="398" applyFont="1" applyBorder="1" applyAlignment="1" applyProtection="1">
      <alignment horizontal="center"/>
      <protection hidden="1"/>
    </xf>
    <xf numFmtId="0" fontId="60" fillId="0" borderId="0" xfId="398" applyFont="1" applyBorder="1" applyAlignment="1" applyProtection="1">
      <alignment horizontal="center"/>
      <protection hidden="1"/>
    </xf>
    <xf numFmtId="0" fontId="60" fillId="0" borderId="0" xfId="398" applyFont="1" applyProtection="1">
      <protection hidden="1"/>
    </xf>
    <xf numFmtId="0" fontId="60" fillId="0" borderId="0" xfId="398" applyFont="1" applyAlignment="1" applyProtection="1">
      <alignment horizontal="right"/>
      <protection hidden="1"/>
    </xf>
    <xf numFmtId="0" fontId="9" fillId="0" borderId="0" xfId="398" applyFont="1" applyProtection="1">
      <protection hidden="1"/>
    </xf>
    <xf numFmtId="0" fontId="17" fillId="0" borderId="0" xfId="398" applyFont="1" applyAlignment="1" applyProtection="1">
      <alignment horizontal="center"/>
      <protection hidden="1"/>
    </xf>
    <xf numFmtId="0" fontId="16" fillId="0" borderId="0" xfId="398" applyFont="1" applyProtection="1">
      <protection hidden="1"/>
    </xf>
    <xf numFmtId="168" fontId="16" fillId="0" borderId="0" xfId="398" applyNumberFormat="1" applyFont="1" applyAlignment="1" applyProtection="1">
      <alignment horizontal="right"/>
      <protection hidden="1"/>
    </xf>
    <xf numFmtId="0" fontId="16" fillId="0" borderId="0" xfId="398" applyFont="1" applyAlignment="1" applyProtection="1">
      <alignment horizontal="center"/>
      <protection hidden="1"/>
    </xf>
    <xf numFmtId="3" fontId="16" fillId="0" borderId="0" xfId="398" applyNumberFormat="1" applyFont="1" applyAlignment="1" applyProtection="1">
      <alignment horizontal="right"/>
      <protection hidden="1"/>
    </xf>
    <xf numFmtId="0" fontId="16" fillId="0" borderId="0" xfId="398" applyFont="1" applyAlignment="1" applyProtection="1">
      <alignment horizontal="right"/>
      <protection hidden="1"/>
    </xf>
    <xf numFmtId="0" fontId="60" fillId="0" borderId="9" xfId="398" applyFont="1" applyBorder="1" applyAlignment="1" applyProtection="1">
      <alignment horizontal="center"/>
      <protection hidden="1"/>
    </xf>
    <xf numFmtId="0" fontId="9" fillId="0" borderId="9" xfId="398" applyFont="1" applyBorder="1" applyProtection="1">
      <protection hidden="1"/>
    </xf>
    <xf numFmtId="168" fontId="11" fillId="0" borderId="0" xfId="398" applyNumberFormat="1" applyFont="1" applyAlignment="1" applyProtection="1">
      <protection hidden="1"/>
    </xf>
    <xf numFmtId="0" fontId="9" fillId="0" borderId="9" xfId="398" applyFont="1" applyBorder="1" applyAlignment="1" applyProtection="1">
      <protection hidden="1"/>
    </xf>
    <xf numFmtId="0" fontId="9" fillId="0" borderId="0" xfId="398" applyFont="1" applyAlignment="1" applyProtection="1">
      <protection hidden="1"/>
    </xf>
    <xf numFmtId="3" fontId="11" fillId="0" borderId="0" xfId="398" applyNumberFormat="1" applyFont="1" applyAlignment="1" applyProtection="1">
      <alignment horizontal="right"/>
      <protection hidden="1"/>
    </xf>
    <xf numFmtId="168" fontId="2" fillId="0" borderId="0" xfId="398" applyNumberFormat="1" applyProtection="1">
      <protection hidden="1"/>
    </xf>
    <xf numFmtId="0" fontId="70" fillId="0" borderId="0" xfId="398" applyFont="1" applyAlignment="1" applyProtection="1">
      <alignment horizontal="right"/>
      <protection hidden="1"/>
    </xf>
    <xf numFmtId="0" fontId="70" fillId="0" borderId="0" xfId="398" applyFont="1" applyProtection="1">
      <protection hidden="1"/>
    </xf>
    <xf numFmtId="168" fontId="70" fillId="0" borderId="0" xfId="398" applyNumberFormat="1" applyFont="1" applyProtection="1">
      <protection hidden="1"/>
    </xf>
    <xf numFmtId="49" fontId="9" fillId="0" borderId="0" xfId="398" applyNumberFormat="1" applyFont="1"/>
    <xf numFmtId="49" fontId="2" fillId="0" borderId="0" xfId="398" applyNumberFormat="1"/>
    <xf numFmtId="0" fontId="9" fillId="0" borderId="0" xfId="398" applyNumberFormat="1" applyFont="1"/>
    <xf numFmtId="0" fontId="2" fillId="0" borderId="0" xfId="398" applyNumberFormat="1"/>
    <xf numFmtId="0" fontId="2" fillId="0" borderId="0" xfId="398" applyNumberFormat="1" applyFont="1"/>
    <xf numFmtId="0" fontId="2" fillId="38" borderId="0" xfId="398" applyFont="1" applyFill="1"/>
    <xf numFmtId="0" fontId="2" fillId="40" borderId="0" xfId="398" applyFont="1" applyFill="1"/>
    <xf numFmtId="0" fontId="2" fillId="44" borderId="0" xfId="398" applyFont="1" applyFill="1"/>
    <xf numFmtId="0" fontId="2" fillId="37" borderId="0" xfId="398" applyFont="1" applyFill="1"/>
    <xf numFmtId="0" fontId="2" fillId="41" borderId="0" xfId="398" applyFont="1" applyFill="1"/>
    <xf numFmtId="0" fontId="2" fillId="39" borderId="0" xfId="398" applyFont="1" applyFill="1"/>
    <xf numFmtId="0" fontId="2" fillId="0" borderId="0" xfId="398" applyFont="1" applyBorder="1"/>
    <xf numFmtId="168" fontId="68" fillId="0" borderId="0" xfId="398" applyNumberFormat="1" applyFont="1" applyProtection="1">
      <protection hidden="1"/>
    </xf>
    <xf numFmtId="0" fontId="3" fillId="0" borderId="0" xfId="1" applyFont="1" applyProtection="1">
      <protection hidden="1"/>
    </xf>
    <xf numFmtId="49" fontId="4" fillId="0" borderId="0" xfId="2" applyNumberFormat="1" applyFont="1" applyProtection="1">
      <protection hidden="1"/>
    </xf>
    <xf numFmtId="0" fontId="74" fillId="0" borderId="36" xfId="1" applyFont="1" applyFill="1" applyBorder="1" applyProtection="1">
      <protection hidden="1"/>
    </xf>
    <xf numFmtId="0" fontId="74" fillId="0" borderId="0" xfId="1" applyFont="1" applyFill="1" applyBorder="1" applyProtection="1">
      <protection hidden="1"/>
    </xf>
    <xf numFmtId="0" fontId="72" fillId="0" borderId="0" xfId="1" applyFont="1" applyFill="1" applyBorder="1" applyAlignment="1" applyProtection="1">
      <alignment horizontal="left" vertical="center" indent="1"/>
      <protection hidden="1"/>
    </xf>
    <xf numFmtId="0" fontId="3" fillId="0" borderId="0" xfId="1" applyFont="1" applyFill="1" applyBorder="1" applyAlignment="1" applyProtection="1">
      <alignment vertical="top" wrapText="1"/>
      <protection hidden="1"/>
    </xf>
    <xf numFmtId="49" fontId="5" fillId="0" borderId="0" xfId="2" applyNumberFormat="1" applyFont="1" applyAlignment="1" applyProtection="1">
      <alignment vertical="center"/>
      <protection hidden="1"/>
    </xf>
    <xf numFmtId="0" fontId="72" fillId="0" borderId="0" xfId="1" applyFont="1" applyFill="1" applyBorder="1" applyAlignment="1" applyProtection="1">
      <alignment horizontal="left" vertical="top" indent="1"/>
      <protection hidden="1"/>
    </xf>
    <xf numFmtId="0" fontId="5" fillId="0" borderId="0" xfId="1" applyFont="1" applyFill="1" applyBorder="1" applyAlignment="1" applyProtection="1">
      <alignment vertical="top"/>
      <protection hidden="1"/>
    </xf>
    <xf numFmtId="0" fontId="72" fillId="0" borderId="0" xfId="1" applyFont="1" applyFill="1" applyBorder="1" applyAlignment="1" applyProtection="1">
      <alignment horizontal="left" vertical="top" wrapText="1" indent="1"/>
      <protection hidden="1"/>
    </xf>
    <xf numFmtId="0" fontId="5" fillId="0" borderId="0" xfId="2" applyFont="1" applyAlignment="1" applyProtection="1">
      <alignment horizontal="left" vertical="top" wrapText="1"/>
      <protection hidden="1"/>
    </xf>
    <xf numFmtId="0" fontId="3" fillId="0" borderId="0" xfId="1" applyFont="1" applyFill="1" applyBorder="1" applyAlignment="1" applyProtection="1">
      <alignment horizontal="left" vertical="top" wrapText="1"/>
      <protection hidden="1"/>
    </xf>
    <xf numFmtId="0" fontId="5" fillId="0" borderId="0" xfId="1" applyFont="1" applyFill="1" applyBorder="1" applyAlignment="1" applyProtection="1">
      <alignment horizontal="left" vertical="top"/>
      <protection hidden="1"/>
    </xf>
    <xf numFmtId="0" fontId="5" fillId="0" borderId="0" xfId="1" applyFont="1" applyFill="1" applyBorder="1" applyAlignment="1" applyProtection="1">
      <alignment vertical="top" wrapText="1"/>
      <protection hidden="1"/>
    </xf>
    <xf numFmtId="0" fontId="71" fillId="0" borderId="0" xfId="3" applyFont="1" applyFill="1" applyBorder="1" applyAlignment="1" applyProtection="1">
      <alignment vertical="top" wrapText="1"/>
      <protection hidden="1"/>
    </xf>
    <xf numFmtId="0" fontId="6" fillId="0" borderId="0" xfId="3" applyFill="1" applyBorder="1" applyAlignment="1" applyProtection="1">
      <alignment vertical="top"/>
      <protection hidden="1"/>
    </xf>
    <xf numFmtId="0" fontId="3" fillId="0" borderId="0" xfId="1" applyFont="1" applyBorder="1" applyProtection="1">
      <protection hidden="1"/>
    </xf>
    <xf numFmtId="0" fontId="62" fillId="0" borderId="0" xfId="398" applyFont="1" applyAlignment="1" applyProtection="1">
      <alignment horizontal="left" indent="1"/>
      <protection hidden="1"/>
    </xf>
    <xf numFmtId="0" fontId="62" fillId="0" borderId="0" xfId="398" applyFont="1" applyAlignment="1" applyProtection="1">
      <alignment wrapText="1"/>
      <protection hidden="1"/>
    </xf>
    <xf numFmtId="0" fontId="62" fillId="0" borderId="0" xfId="398" applyFont="1" applyAlignment="1" applyProtection="1">
      <protection hidden="1"/>
    </xf>
    <xf numFmtId="0" fontId="62" fillId="0" borderId="0" xfId="398" applyFont="1" applyAlignment="1" applyProtection="1">
      <alignment horizontal="left" wrapText="1" indent="1"/>
      <protection hidden="1"/>
    </xf>
    <xf numFmtId="0" fontId="75" fillId="0" borderId="0" xfId="13" applyFont="1" applyProtection="1">
      <protection hidden="1"/>
    </xf>
    <xf numFmtId="0" fontId="8" fillId="0" borderId="0" xfId="13" applyFont="1" applyProtection="1">
      <protection hidden="1"/>
    </xf>
    <xf numFmtId="0" fontId="8" fillId="0" borderId="0" xfId="37" applyFont="1" applyAlignment="1" applyProtection="1">
      <alignment horizontal="center"/>
      <protection hidden="1"/>
    </xf>
    <xf numFmtId="0" fontId="8" fillId="0" borderId="0" xfId="37" applyFont="1" applyProtection="1">
      <protection hidden="1"/>
    </xf>
    <xf numFmtId="0" fontId="3" fillId="0" borderId="0" xfId="37" applyFont="1" applyProtection="1">
      <protection hidden="1"/>
    </xf>
    <xf numFmtId="0" fontId="3" fillId="0" borderId="0" xfId="37" quotePrefix="1" applyFont="1" applyAlignment="1" applyProtection="1">
      <alignment horizontal="center"/>
      <protection hidden="1"/>
    </xf>
    <xf numFmtId="0" fontId="3" fillId="0" borderId="0" xfId="37" applyFont="1" applyAlignment="1" applyProtection="1">
      <alignment horizontal="center"/>
      <protection hidden="1"/>
    </xf>
    <xf numFmtId="0" fontId="73" fillId="0" borderId="0" xfId="37" applyFont="1" applyProtection="1">
      <protection hidden="1"/>
    </xf>
    <xf numFmtId="0" fontId="76" fillId="0" borderId="0" xfId="4" applyFont="1" applyAlignment="1" applyProtection="1">
      <protection hidden="1"/>
    </xf>
    <xf numFmtId="0" fontId="0" fillId="0" borderId="0" xfId="0" applyProtection="1">
      <protection hidden="1"/>
    </xf>
    <xf numFmtId="0" fontId="62" fillId="0" borderId="0" xfId="398" applyFont="1" applyAlignment="1" applyProtection="1">
      <alignment horizontal="left" wrapText="1" indent="1"/>
      <protection hidden="1"/>
    </xf>
    <xf numFmtId="0" fontId="18" fillId="0" borderId="10" xfId="398" applyFont="1" applyBorder="1" applyAlignment="1" applyProtection="1">
      <alignment horizontal="left" vertical="top" wrapText="1"/>
      <protection hidden="1"/>
    </xf>
    <xf numFmtId="0" fontId="18" fillId="0" borderId="0" xfId="398" applyFont="1" applyAlignment="1" applyProtection="1">
      <alignment horizontal="left" vertical="top" wrapText="1"/>
      <protection hidden="1"/>
    </xf>
    <xf numFmtId="0" fontId="64" fillId="0" borderId="0" xfId="398" applyFont="1" applyAlignment="1" applyProtection="1">
      <alignment horizontal="left" vertical="top" wrapText="1"/>
      <protection hidden="1"/>
    </xf>
    <xf numFmtId="0" fontId="9" fillId="0" borderId="0" xfId="398" applyFont="1" applyFill="1" applyAlignment="1" applyProtection="1">
      <alignment horizontal="center"/>
      <protection hidden="1"/>
    </xf>
    <xf numFmtId="0" fontId="8" fillId="0" borderId="9" xfId="398" applyFont="1" applyBorder="1" applyAlignment="1" applyProtection="1">
      <alignment horizontal="left" wrapText="1"/>
      <protection hidden="1"/>
    </xf>
    <xf numFmtId="0" fontId="60" fillId="0" borderId="9" xfId="398" applyFont="1" applyBorder="1" applyAlignment="1" applyProtection="1">
      <alignment horizontal="center" vertical="center"/>
      <protection hidden="1"/>
    </xf>
    <xf numFmtId="0" fontId="9" fillId="45" borderId="1" xfId="398" applyFont="1" applyFill="1" applyBorder="1" applyAlignment="1">
      <alignment horizontal="left"/>
    </xf>
    <xf numFmtId="0" fontId="9" fillId="45" borderId="2" xfId="398" applyFont="1" applyFill="1" applyBorder="1" applyAlignment="1">
      <alignment horizontal="left"/>
    </xf>
  </cellXfs>
  <cellStyles count="2491">
    <cellStyle name="20% - Accent1 2" xfId="40"/>
    <cellStyle name="20% - Accent1 3" xfId="41"/>
    <cellStyle name="20% - Accent2 2" xfId="42"/>
    <cellStyle name="20% - Accent2 3" xfId="43"/>
    <cellStyle name="20% - Accent3 2" xfId="44"/>
    <cellStyle name="20% - Accent3 3" xfId="45"/>
    <cellStyle name="20% - Accent4 2" xfId="46"/>
    <cellStyle name="20% - Accent4 3" xfId="47"/>
    <cellStyle name="20% - Accent5 2" xfId="48"/>
    <cellStyle name="20% - Accent5 3" xfId="49"/>
    <cellStyle name="20% - Accent6 2" xfId="50"/>
    <cellStyle name="20% - Accent6 3" xfId="51"/>
    <cellStyle name="40% - Accent1 2" xfId="52"/>
    <cellStyle name="40% - Accent1 3" xfId="53"/>
    <cellStyle name="40% - Accent2 2" xfId="54"/>
    <cellStyle name="40% - Accent2 3" xfId="55"/>
    <cellStyle name="40% - Accent3 2" xfId="56"/>
    <cellStyle name="40% - Accent3 3" xfId="57"/>
    <cellStyle name="40% - Accent4 2" xfId="58"/>
    <cellStyle name="40% - Accent4 3" xfId="59"/>
    <cellStyle name="40% - Accent5 2" xfId="60"/>
    <cellStyle name="40% - Accent5 3" xfId="61"/>
    <cellStyle name="40% - Accent6 2" xfId="62"/>
    <cellStyle name="40% - Accent6 3" xfId="63"/>
    <cellStyle name="60% - Accent1 2" xfId="64"/>
    <cellStyle name="60% - Accent2 2" xfId="65"/>
    <cellStyle name="60% - Accent3 2" xfId="66"/>
    <cellStyle name="60% - Accent4 2" xfId="67"/>
    <cellStyle name="60% - Accent5 2" xfId="68"/>
    <cellStyle name="60% - Accent6 2" xfId="69"/>
    <cellStyle name="Accent1 2" xfId="70"/>
    <cellStyle name="Accent2 2" xfId="71"/>
    <cellStyle name="Accent3 2" xfId="72"/>
    <cellStyle name="Accent4 2" xfId="73"/>
    <cellStyle name="Accent5 2" xfId="74"/>
    <cellStyle name="Accent6 2" xfId="75"/>
    <cellStyle name="ANCLAS,REZONES Y SUS PARTES,DE FUNDICION,DE HIERRO O DE ACERO" xfId="76"/>
    <cellStyle name="Bad 2" xfId="77"/>
    <cellStyle name="Calculation 2" xfId="78"/>
    <cellStyle name="Calculation 2 2" xfId="79"/>
    <cellStyle name="Calculation 2 2 2" xfId="2438"/>
    <cellStyle name="Calculation 2 3" xfId="80"/>
    <cellStyle name="Calculation 2 3 2" xfId="2439"/>
    <cellStyle name="Calculation 2 4" xfId="81"/>
    <cellStyle name="Calculation 2 4 2" xfId="2440"/>
    <cellStyle name="Calculation 2 5" xfId="82"/>
    <cellStyle name="Calculation 2 5 2" xfId="2441"/>
    <cellStyle name="Calculation 2 6" xfId="83"/>
    <cellStyle name="Calculation 2 6 2" xfId="2442"/>
    <cellStyle name="Calculation 2 7" xfId="84"/>
    <cellStyle name="Calculation 2 7 2" xfId="2443"/>
    <cellStyle name="Calculation 2 8" xfId="2444"/>
    <cellStyle name="Check Cell 2" xfId="85"/>
    <cellStyle name="Comma 2" xfId="22"/>
    <cellStyle name="Comma 2 10" xfId="86"/>
    <cellStyle name="Comma 2 11" xfId="87"/>
    <cellStyle name="Comma 2 12" xfId="88"/>
    <cellStyle name="Comma 2 13" xfId="89"/>
    <cellStyle name="Comma 2 14" xfId="90"/>
    <cellStyle name="Comma 2 15" xfId="91"/>
    <cellStyle name="Comma 2 16" xfId="92"/>
    <cellStyle name="Comma 2 17" xfId="93"/>
    <cellStyle name="Comma 2 18" xfId="94"/>
    <cellStyle name="Comma 2 19" xfId="95"/>
    <cellStyle name="Comma 2 2" xfId="96"/>
    <cellStyle name="Comma 2 2 2" xfId="97"/>
    <cellStyle name="Comma 2 20" xfId="98"/>
    <cellStyle name="Comma 2 21" xfId="99"/>
    <cellStyle name="Comma 2 3" xfId="100"/>
    <cellStyle name="Comma 2 4" xfId="101"/>
    <cellStyle name="Comma 2 5" xfId="102"/>
    <cellStyle name="Comma 2 6" xfId="103"/>
    <cellStyle name="Comma 2 7" xfId="104"/>
    <cellStyle name="Comma 2 8" xfId="105"/>
    <cellStyle name="Comma 2 9" xfId="106"/>
    <cellStyle name="Comma 3" xfId="107"/>
    <cellStyle name="Comma 3 10" xfId="108"/>
    <cellStyle name="Comma 3 11" xfId="109"/>
    <cellStyle name="Comma 3 12" xfId="110"/>
    <cellStyle name="Comma 3 13" xfId="111"/>
    <cellStyle name="Comma 3 14" xfId="112"/>
    <cellStyle name="Comma 3 15" xfId="113"/>
    <cellStyle name="Comma 3 16" xfId="114"/>
    <cellStyle name="Comma 3 17" xfId="115"/>
    <cellStyle name="Comma 3 18" xfId="116"/>
    <cellStyle name="Comma 3 19" xfId="117"/>
    <cellStyle name="Comma 3 2" xfId="118"/>
    <cellStyle name="Comma 3 20" xfId="119"/>
    <cellStyle name="Comma 3 3" xfId="120"/>
    <cellStyle name="Comma 3 4" xfId="121"/>
    <cellStyle name="Comma 3 5" xfId="122"/>
    <cellStyle name="Comma 3 6" xfId="123"/>
    <cellStyle name="Comma 3 7" xfId="124"/>
    <cellStyle name="Comma 3 8" xfId="125"/>
    <cellStyle name="Comma 3 9" xfId="126"/>
    <cellStyle name="Comma 4" xfId="127"/>
    <cellStyle name="Comma 4 10" xfId="128"/>
    <cellStyle name="Comma 4 11" xfId="129"/>
    <cellStyle name="Comma 4 12" xfId="130"/>
    <cellStyle name="Comma 4 13" xfId="131"/>
    <cellStyle name="Comma 4 14" xfId="132"/>
    <cellStyle name="Comma 4 15" xfId="133"/>
    <cellStyle name="Comma 4 16" xfId="134"/>
    <cellStyle name="Comma 4 17" xfId="135"/>
    <cellStyle name="Comma 4 18" xfId="136"/>
    <cellStyle name="Comma 4 19" xfId="137"/>
    <cellStyle name="Comma 4 2" xfId="138"/>
    <cellStyle name="Comma 4 20" xfId="139"/>
    <cellStyle name="Comma 4 3" xfId="140"/>
    <cellStyle name="Comma 4 4" xfId="141"/>
    <cellStyle name="Comma 4 5" xfId="142"/>
    <cellStyle name="Comma 4 6" xfId="143"/>
    <cellStyle name="Comma 4 7" xfId="144"/>
    <cellStyle name="Comma 4 8" xfId="145"/>
    <cellStyle name="Comma 4 9" xfId="146"/>
    <cellStyle name="Comma 5" xfId="147"/>
    <cellStyle name="Comma 6" xfId="148"/>
    <cellStyle name="Comma 7" xfId="149"/>
    <cellStyle name="Currency 2" xfId="150"/>
    <cellStyle name="Data_Total" xfId="151"/>
    <cellStyle name="dave1" xfId="152"/>
    <cellStyle name="Explanatory Text 2" xfId="153"/>
    <cellStyle name="Good 2" xfId="154"/>
    <cellStyle name="Heading" xfId="155"/>
    <cellStyle name="Heading 1 2" xfId="156"/>
    <cellStyle name="Heading 2 2" xfId="157"/>
    <cellStyle name="Heading 3 2" xfId="158"/>
    <cellStyle name="Heading 4 2" xfId="159"/>
    <cellStyle name="Heading 5" xfId="160"/>
    <cellStyle name="Headings" xfId="25"/>
    <cellStyle name="Headings 2" xfId="161"/>
    <cellStyle name="Headings 3" xfId="162"/>
    <cellStyle name="Headings_total and female claimant count sept 08" xfId="163"/>
    <cellStyle name="Hyperlink" xfId="3" builtinId="8"/>
    <cellStyle name="Hyperlink 2" xfId="6"/>
    <cellStyle name="Hyperlink 2 10" xfId="164"/>
    <cellStyle name="Hyperlink 2 100" xfId="165"/>
    <cellStyle name="Hyperlink 2 101" xfId="166"/>
    <cellStyle name="Hyperlink 2 102" xfId="167"/>
    <cellStyle name="Hyperlink 2 103" xfId="168"/>
    <cellStyle name="Hyperlink 2 104" xfId="169"/>
    <cellStyle name="Hyperlink 2 105" xfId="170"/>
    <cellStyle name="Hyperlink 2 106" xfId="171"/>
    <cellStyle name="Hyperlink 2 107" xfId="172"/>
    <cellStyle name="Hyperlink 2 108" xfId="173"/>
    <cellStyle name="Hyperlink 2 109" xfId="174"/>
    <cellStyle name="Hyperlink 2 11" xfId="175"/>
    <cellStyle name="Hyperlink 2 110" xfId="176"/>
    <cellStyle name="Hyperlink 2 111" xfId="177"/>
    <cellStyle name="Hyperlink 2 112" xfId="178"/>
    <cellStyle name="Hyperlink 2 113" xfId="179"/>
    <cellStyle name="Hyperlink 2 114" xfId="180"/>
    <cellStyle name="Hyperlink 2 115" xfId="181"/>
    <cellStyle name="Hyperlink 2 116" xfId="182"/>
    <cellStyle name="Hyperlink 2 117" xfId="183"/>
    <cellStyle name="Hyperlink 2 118" xfId="184"/>
    <cellStyle name="Hyperlink 2 119" xfId="185"/>
    <cellStyle name="Hyperlink 2 12" xfId="186"/>
    <cellStyle name="Hyperlink 2 120" xfId="187"/>
    <cellStyle name="Hyperlink 2 121" xfId="188"/>
    <cellStyle name="Hyperlink 2 122" xfId="189"/>
    <cellStyle name="Hyperlink 2 123" xfId="190"/>
    <cellStyle name="Hyperlink 2 124" xfId="191"/>
    <cellStyle name="Hyperlink 2 125" xfId="192"/>
    <cellStyle name="Hyperlink 2 126" xfId="193"/>
    <cellStyle name="Hyperlink 2 127" xfId="194"/>
    <cellStyle name="Hyperlink 2 128" xfId="195"/>
    <cellStyle name="Hyperlink 2 129" xfId="196"/>
    <cellStyle name="Hyperlink 2 13" xfId="197"/>
    <cellStyle name="Hyperlink 2 130" xfId="198"/>
    <cellStyle name="Hyperlink 2 131" xfId="199"/>
    <cellStyle name="Hyperlink 2 132" xfId="200"/>
    <cellStyle name="Hyperlink 2 133" xfId="201"/>
    <cellStyle name="Hyperlink 2 134" xfId="202"/>
    <cellStyle name="Hyperlink 2 135" xfId="203"/>
    <cellStyle name="Hyperlink 2 136" xfId="204"/>
    <cellStyle name="Hyperlink 2 137" xfId="205"/>
    <cellStyle name="Hyperlink 2 138" xfId="206"/>
    <cellStyle name="Hyperlink 2 139" xfId="207"/>
    <cellStyle name="Hyperlink 2 14" xfId="208"/>
    <cellStyle name="Hyperlink 2 140" xfId="209"/>
    <cellStyle name="Hyperlink 2 141" xfId="210"/>
    <cellStyle name="Hyperlink 2 142" xfId="211"/>
    <cellStyle name="Hyperlink 2 143" xfId="212"/>
    <cellStyle name="Hyperlink 2 144" xfId="213"/>
    <cellStyle name="Hyperlink 2 145" xfId="214"/>
    <cellStyle name="Hyperlink 2 146" xfId="215"/>
    <cellStyle name="Hyperlink 2 147" xfId="216"/>
    <cellStyle name="Hyperlink 2 148" xfId="217"/>
    <cellStyle name="Hyperlink 2 149" xfId="218"/>
    <cellStyle name="Hyperlink 2 149 2" xfId="219"/>
    <cellStyle name="Hyperlink 2 15" xfId="220"/>
    <cellStyle name="Hyperlink 2 150" xfId="221"/>
    <cellStyle name="Hyperlink 2 16" xfId="222"/>
    <cellStyle name="Hyperlink 2 17" xfId="223"/>
    <cellStyle name="Hyperlink 2 18" xfId="224"/>
    <cellStyle name="Hyperlink 2 19" xfId="225"/>
    <cellStyle name="Hyperlink 2 2" xfId="7"/>
    <cellStyle name="Hyperlink 2 2 2" xfId="226"/>
    <cellStyle name="Hyperlink 2 2 3" xfId="227"/>
    <cellStyle name="Hyperlink 2 20" xfId="228"/>
    <cellStyle name="Hyperlink 2 21" xfId="229"/>
    <cellStyle name="Hyperlink 2 22" xfId="230"/>
    <cellStyle name="Hyperlink 2 23" xfId="231"/>
    <cellStyle name="Hyperlink 2 24" xfId="232"/>
    <cellStyle name="Hyperlink 2 25" xfId="233"/>
    <cellStyle name="Hyperlink 2 26" xfId="234"/>
    <cellStyle name="Hyperlink 2 27" xfId="235"/>
    <cellStyle name="Hyperlink 2 28" xfId="236"/>
    <cellStyle name="Hyperlink 2 29" xfId="237"/>
    <cellStyle name="Hyperlink 2 3" xfId="238"/>
    <cellStyle name="Hyperlink 2 30" xfId="239"/>
    <cellStyle name="Hyperlink 2 31" xfId="240"/>
    <cellStyle name="Hyperlink 2 32" xfId="241"/>
    <cellStyle name="Hyperlink 2 33" xfId="242"/>
    <cellStyle name="Hyperlink 2 34" xfId="243"/>
    <cellStyle name="Hyperlink 2 35" xfId="244"/>
    <cellStyle name="Hyperlink 2 36" xfId="245"/>
    <cellStyle name="Hyperlink 2 37" xfId="246"/>
    <cellStyle name="Hyperlink 2 38" xfId="247"/>
    <cellStyle name="Hyperlink 2 39" xfId="248"/>
    <cellStyle name="Hyperlink 2 4" xfId="249"/>
    <cellStyle name="Hyperlink 2 40" xfId="250"/>
    <cellStyle name="Hyperlink 2 41" xfId="251"/>
    <cellStyle name="Hyperlink 2 42" xfId="252"/>
    <cellStyle name="Hyperlink 2 43" xfId="253"/>
    <cellStyle name="Hyperlink 2 44" xfId="254"/>
    <cellStyle name="Hyperlink 2 45" xfId="255"/>
    <cellStyle name="Hyperlink 2 46" xfId="256"/>
    <cellStyle name="Hyperlink 2 47" xfId="257"/>
    <cellStyle name="Hyperlink 2 48" xfId="258"/>
    <cellStyle name="Hyperlink 2 49" xfId="259"/>
    <cellStyle name="Hyperlink 2 5" xfId="260"/>
    <cellStyle name="Hyperlink 2 50" xfId="261"/>
    <cellStyle name="Hyperlink 2 51" xfId="262"/>
    <cellStyle name="Hyperlink 2 52" xfId="263"/>
    <cellStyle name="Hyperlink 2 53" xfId="264"/>
    <cellStyle name="Hyperlink 2 54" xfId="265"/>
    <cellStyle name="Hyperlink 2 55" xfId="266"/>
    <cellStyle name="Hyperlink 2 56" xfId="267"/>
    <cellStyle name="Hyperlink 2 57" xfId="268"/>
    <cellStyle name="Hyperlink 2 58" xfId="269"/>
    <cellStyle name="Hyperlink 2 59" xfId="270"/>
    <cellStyle name="Hyperlink 2 6" xfId="271"/>
    <cellStyle name="Hyperlink 2 60" xfId="272"/>
    <cellStyle name="Hyperlink 2 61" xfId="273"/>
    <cellStyle name="Hyperlink 2 62" xfId="274"/>
    <cellStyle name="Hyperlink 2 63" xfId="275"/>
    <cellStyle name="Hyperlink 2 64" xfId="276"/>
    <cellStyle name="Hyperlink 2 65" xfId="277"/>
    <cellStyle name="Hyperlink 2 66" xfId="278"/>
    <cellStyle name="Hyperlink 2 67" xfId="279"/>
    <cellStyle name="Hyperlink 2 68" xfId="280"/>
    <cellStyle name="Hyperlink 2 69" xfId="281"/>
    <cellStyle name="Hyperlink 2 7" xfId="282"/>
    <cellStyle name="Hyperlink 2 70" xfId="283"/>
    <cellStyle name="Hyperlink 2 71" xfId="284"/>
    <cellStyle name="Hyperlink 2 72" xfId="285"/>
    <cellStyle name="Hyperlink 2 73" xfId="286"/>
    <cellStyle name="Hyperlink 2 74" xfId="287"/>
    <cellStyle name="Hyperlink 2 75" xfId="288"/>
    <cellStyle name="Hyperlink 2 76" xfId="289"/>
    <cellStyle name="Hyperlink 2 77" xfId="290"/>
    <cellStyle name="Hyperlink 2 78" xfId="291"/>
    <cellStyle name="Hyperlink 2 79" xfId="292"/>
    <cellStyle name="Hyperlink 2 8" xfId="293"/>
    <cellStyle name="Hyperlink 2 80" xfId="294"/>
    <cellStyle name="Hyperlink 2 81" xfId="295"/>
    <cellStyle name="Hyperlink 2 82" xfId="296"/>
    <cellStyle name="Hyperlink 2 83" xfId="297"/>
    <cellStyle name="Hyperlink 2 84" xfId="298"/>
    <cellStyle name="Hyperlink 2 85" xfId="299"/>
    <cellStyle name="Hyperlink 2 86" xfId="300"/>
    <cellStyle name="Hyperlink 2 87" xfId="301"/>
    <cellStyle name="Hyperlink 2 88" xfId="302"/>
    <cellStyle name="Hyperlink 2 89" xfId="303"/>
    <cellStyle name="Hyperlink 2 9" xfId="304"/>
    <cellStyle name="Hyperlink 2 90" xfId="305"/>
    <cellStyle name="Hyperlink 2 91" xfId="306"/>
    <cellStyle name="Hyperlink 2 92" xfId="307"/>
    <cellStyle name="Hyperlink 2 93" xfId="308"/>
    <cellStyle name="Hyperlink 2 94" xfId="309"/>
    <cellStyle name="Hyperlink 2 95" xfId="310"/>
    <cellStyle name="Hyperlink 2 96" xfId="311"/>
    <cellStyle name="Hyperlink 2 97" xfId="312"/>
    <cellStyle name="Hyperlink 2 98" xfId="313"/>
    <cellStyle name="Hyperlink 2 99" xfId="314"/>
    <cellStyle name="Hyperlink 3" xfId="4"/>
    <cellStyle name="Hyperlink 3 10" xfId="315"/>
    <cellStyle name="Hyperlink 3 11" xfId="316"/>
    <cellStyle name="Hyperlink 3 12" xfId="317"/>
    <cellStyle name="Hyperlink 3 13" xfId="318"/>
    <cellStyle name="Hyperlink 3 14" xfId="319"/>
    <cellStyle name="Hyperlink 3 15" xfId="320"/>
    <cellStyle name="Hyperlink 3 16" xfId="321"/>
    <cellStyle name="Hyperlink 3 17" xfId="322"/>
    <cellStyle name="Hyperlink 3 18" xfId="323"/>
    <cellStyle name="Hyperlink 3 19" xfId="324"/>
    <cellStyle name="Hyperlink 3 2" xfId="8"/>
    <cellStyle name="Hyperlink 3 2 2" xfId="325"/>
    <cellStyle name="Hyperlink 3 20" xfId="326"/>
    <cellStyle name="Hyperlink 3 21" xfId="327"/>
    <cellStyle name="Hyperlink 3 22" xfId="328"/>
    <cellStyle name="Hyperlink 3 23" xfId="329"/>
    <cellStyle name="Hyperlink 3 24" xfId="330"/>
    <cellStyle name="Hyperlink 3 25" xfId="331"/>
    <cellStyle name="Hyperlink 3 26" xfId="332"/>
    <cellStyle name="Hyperlink 3 27" xfId="333"/>
    <cellStyle name="Hyperlink 3 28" xfId="334"/>
    <cellStyle name="Hyperlink 3 29" xfId="335"/>
    <cellStyle name="Hyperlink 3 3" xfId="9"/>
    <cellStyle name="Hyperlink 3 3 2" xfId="336"/>
    <cellStyle name="Hyperlink 3 30" xfId="337"/>
    <cellStyle name="Hyperlink 3 31" xfId="338"/>
    <cellStyle name="Hyperlink 3 32" xfId="339"/>
    <cellStyle name="Hyperlink 3 33" xfId="340"/>
    <cellStyle name="Hyperlink 3 34" xfId="341"/>
    <cellStyle name="Hyperlink 3 35" xfId="342"/>
    <cellStyle name="Hyperlink 3 36" xfId="343"/>
    <cellStyle name="Hyperlink 3 37" xfId="344"/>
    <cellStyle name="Hyperlink 3 38" xfId="345"/>
    <cellStyle name="Hyperlink 3 39" xfId="346"/>
    <cellStyle name="Hyperlink 3 4" xfId="347"/>
    <cellStyle name="Hyperlink 3 40" xfId="348"/>
    <cellStyle name="Hyperlink 3 41" xfId="349"/>
    <cellStyle name="Hyperlink 3 42" xfId="350"/>
    <cellStyle name="Hyperlink 3 43" xfId="351"/>
    <cellStyle name="Hyperlink 3 44" xfId="352"/>
    <cellStyle name="Hyperlink 3 45" xfId="353"/>
    <cellStyle name="Hyperlink 3 46" xfId="354"/>
    <cellStyle name="Hyperlink 3 47" xfId="355"/>
    <cellStyle name="Hyperlink 3 48" xfId="356"/>
    <cellStyle name="Hyperlink 3 49" xfId="357"/>
    <cellStyle name="Hyperlink 3 5" xfId="358"/>
    <cellStyle name="Hyperlink 3 50" xfId="359"/>
    <cellStyle name="Hyperlink 3 51" xfId="360"/>
    <cellStyle name="Hyperlink 3 52" xfId="361"/>
    <cellStyle name="Hyperlink 3 53" xfId="362"/>
    <cellStyle name="Hyperlink 3 54" xfId="363"/>
    <cellStyle name="Hyperlink 3 55" xfId="364"/>
    <cellStyle name="Hyperlink 3 56" xfId="365"/>
    <cellStyle name="Hyperlink 3 57" xfId="366"/>
    <cellStyle name="Hyperlink 3 58" xfId="367"/>
    <cellStyle name="Hyperlink 3 59" xfId="368"/>
    <cellStyle name="Hyperlink 3 6" xfId="369"/>
    <cellStyle name="Hyperlink 3 60" xfId="370"/>
    <cellStyle name="Hyperlink 3 61" xfId="371"/>
    <cellStyle name="Hyperlink 3 62" xfId="372"/>
    <cellStyle name="Hyperlink 3 63" xfId="373"/>
    <cellStyle name="Hyperlink 3 7" xfId="374"/>
    <cellStyle name="Hyperlink 3 8" xfId="375"/>
    <cellStyle name="Hyperlink 3 9" xfId="376"/>
    <cellStyle name="Hyperlink 31" xfId="377"/>
    <cellStyle name="Hyperlink 4" xfId="10"/>
    <cellStyle name="Hyperlink 4 2" xfId="378"/>
    <cellStyle name="Hyperlink 4 2 2" xfId="379"/>
    <cellStyle name="Hyperlink 4 3" xfId="380"/>
    <cellStyle name="Hyperlink 5" xfId="11"/>
    <cellStyle name="Hyperlink 5 2" xfId="381"/>
    <cellStyle name="Hyperlink 5 3" xfId="382"/>
    <cellStyle name="Hyperlink 6" xfId="26"/>
    <cellStyle name="Hyperlink 6 2" xfId="383"/>
    <cellStyle name="Hyperlink 7" xfId="384"/>
    <cellStyle name="Hyperlink 7 2" xfId="385"/>
    <cellStyle name="Hyperlink 7 3" xfId="386"/>
    <cellStyle name="Hyperlink 8" xfId="35"/>
    <cellStyle name="Hyperlink 9" xfId="39"/>
    <cellStyle name="Input 2" xfId="387"/>
    <cellStyle name="Input 2 2" xfId="388"/>
    <cellStyle name="Input 2 2 2" xfId="2445"/>
    <cellStyle name="Input 2 3" xfId="389"/>
    <cellStyle name="Input 2 3 2" xfId="2446"/>
    <cellStyle name="Input 2 4" xfId="390"/>
    <cellStyle name="Input 2 4 2" xfId="2447"/>
    <cellStyle name="Input 2 5" xfId="391"/>
    <cellStyle name="Input 2 5 2" xfId="2448"/>
    <cellStyle name="Input 2 6" xfId="392"/>
    <cellStyle name="Input 2 6 2" xfId="2449"/>
    <cellStyle name="Input 2 7" xfId="393"/>
    <cellStyle name="Input 2 7 2" xfId="2450"/>
    <cellStyle name="Input 2 8" xfId="2451"/>
    <cellStyle name="Inscode" xfId="394"/>
    <cellStyle name="Inscode 2" xfId="395"/>
    <cellStyle name="Linked Cell 2" xfId="396"/>
    <cellStyle name="Neutral 2" xfId="397"/>
    <cellStyle name="Normal" xfId="0" builtinId="0"/>
    <cellStyle name="Normal 10" xfId="398"/>
    <cellStyle name="Normal 10 10" xfId="38"/>
    <cellStyle name="Normal 10 10 2" xfId="399"/>
    <cellStyle name="Normal 10 10 3" xfId="400"/>
    <cellStyle name="Normal 10 11" xfId="401"/>
    <cellStyle name="Normal 10 11 2" xfId="402"/>
    <cellStyle name="Normal 10 11 3" xfId="403"/>
    <cellStyle name="Normal 10 12" xfId="404"/>
    <cellStyle name="Normal 10 12 2" xfId="405"/>
    <cellStyle name="Normal 10 12 3" xfId="406"/>
    <cellStyle name="Normal 10 13" xfId="407"/>
    <cellStyle name="Normal 10 13 2" xfId="408"/>
    <cellStyle name="Normal 10 13 3" xfId="409"/>
    <cellStyle name="Normal 10 14" xfId="410"/>
    <cellStyle name="Normal 10 14 2" xfId="411"/>
    <cellStyle name="Normal 10 14 3" xfId="412"/>
    <cellStyle name="Normal 10 15" xfId="413"/>
    <cellStyle name="Normal 10 15 2" xfId="414"/>
    <cellStyle name="Normal 10 15 3" xfId="415"/>
    <cellStyle name="Normal 10 16" xfId="416"/>
    <cellStyle name="Normal 10 16 2" xfId="417"/>
    <cellStyle name="Normal 10 16 3" xfId="418"/>
    <cellStyle name="Normal 10 17" xfId="419"/>
    <cellStyle name="Normal 10 18" xfId="420"/>
    <cellStyle name="Normal 10 19" xfId="421"/>
    <cellStyle name="Normal 10 2" xfId="422"/>
    <cellStyle name="Normal 10 2 2" xfId="423"/>
    <cellStyle name="Normal 10 2 3" xfId="424"/>
    <cellStyle name="Normal 10 3" xfId="425"/>
    <cellStyle name="Normal 10 3 2" xfId="426"/>
    <cellStyle name="Normal 10 3 3" xfId="427"/>
    <cellStyle name="Normal 10 4" xfId="428"/>
    <cellStyle name="Normal 10 4 2" xfId="429"/>
    <cellStyle name="Normal 10 4 3" xfId="430"/>
    <cellStyle name="Normal 10 5" xfId="431"/>
    <cellStyle name="Normal 10 5 2" xfId="432"/>
    <cellStyle name="Normal 10 5 3" xfId="433"/>
    <cellStyle name="Normal 10 6" xfId="434"/>
    <cellStyle name="Normal 10 6 2" xfId="435"/>
    <cellStyle name="Normal 10 6 3" xfId="436"/>
    <cellStyle name="Normal 10 7" xfId="437"/>
    <cellStyle name="Normal 10 7 2" xfId="438"/>
    <cellStyle name="Normal 10 7 3" xfId="439"/>
    <cellStyle name="Normal 10 8" xfId="440"/>
    <cellStyle name="Normal 10 8 2" xfId="441"/>
    <cellStyle name="Normal 10 8 3" xfId="442"/>
    <cellStyle name="Normal 10 9" xfId="443"/>
    <cellStyle name="Normal 10 9 2" xfId="444"/>
    <cellStyle name="Normal 10 9 3" xfId="445"/>
    <cellStyle name="Normal 11" xfId="446"/>
    <cellStyle name="Normal 11 2" xfId="447"/>
    <cellStyle name="Normal 11 3" xfId="448"/>
    <cellStyle name="Normal 11 4" xfId="449"/>
    <cellStyle name="Normal 12" xfId="27"/>
    <cellStyle name="Normal 12 10" xfId="450"/>
    <cellStyle name="Normal 12 10 2" xfId="451"/>
    <cellStyle name="Normal 12 10 3" xfId="452"/>
    <cellStyle name="Normal 12 11" xfId="453"/>
    <cellStyle name="Normal 12 11 2" xfId="454"/>
    <cellStyle name="Normal 12 11 3" xfId="455"/>
    <cellStyle name="Normal 12 12" xfId="456"/>
    <cellStyle name="Normal 12 12 2" xfId="457"/>
    <cellStyle name="Normal 12 12 3" xfId="458"/>
    <cellStyle name="Normal 12 13" xfId="459"/>
    <cellStyle name="Normal 12 13 2" xfId="460"/>
    <cellStyle name="Normal 12 13 3" xfId="461"/>
    <cellStyle name="Normal 12 14" xfId="462"/>
    <cellStyle name="Normal 12 14 2" xfId="463"/>
    <cellStyle name="Normal 12 14 3" xfId="464"/>
    <cellStyle name="Normal 12 15" xfId="465"/>
    <cellStyle name="Normal 12 15 2" xfId="466"/>
    <cellStyle name="Normal 12 15 3" xfId="467"/>
    <cellStyle name="Normal 12 16" xfId="468"/>
    <cellStyle name="Normal 12 16 2" xfId="469"/>
    <cellStyle name="Normal 12 16 3" xfId="470"/>
    <cellStyle name="Normal 12 17" xfId="471"/>
    <cellStyle name="Normal 12 18" xfId="472"/>
    <cellStyle name="Normal 12 19" xfId="473"/>
    <cellStyle name="Normal 12 2" xfId="34"/>
    <cellStyle name="Normal 12 2 2" xfId="474"/>
    <cellStyle name="Normal 12 2 3" xfId="475"/>
    <cellStyle name="Normal 12 20" xfId="2432"/>
    <cellStyle name="Normal 12 3" xfId="476"/>
    <cellStyle name="Normal 12 3 2" xfId="477"/>
    <cellStyle name="Normal 12 3 3" xfId="478"/>
    <cellStyle name="Normal 12 4" xfId="479"/>
    <cellStyle name="Normal 12 4 2" xfId="480"/>
    <cellStyle name="Normal 12 4 3" xfId="481"/>
    <cellStyle name="Normal 12 5" xfId="482"/>
    <cellStyle name="Normal 12 5 2" xfId="483"/>
    <cellStyle name="Normal 12 5 3" xfId="484"/>
    <cellStyle name="Normal 12 6" xfId="485"/>
    <cellStyle name="Normal 12 6 2" xfId="486"/>
    <cellStyle name="Normal 12 6 3" xfId="487"/>
    <cellStyle name="Normal 12 7" xfId="488"/>
    <cellStyle name="Normal 12 7 2" xfId="489"/>
    <cellStyle name="Normal 12 7 3" xfId="490"/>
    <cellStyle name="Normal 12 8" xfId="491"/>
    <cellStyle name="Normal 12 8 2" xfId="492"/>
    <cellStyle name="Normal 12 8 3" xfId="493"/>
    <cellStyle name="Normal 12 9" xfId="494"/>
    <cellStyle name="Normal 12 9 2" xfId="495"/>
    <cellStyle name="Normal 12 9 3" xfId="496"/>
    <cellStyle name="Normal 13" xfId="497"/>
    <cellStyle name="Normal 13 2" xfId="498"/>
    <cellStyle name="Normal 14" xfId="499"/>
    <cellStyle name="Normal 14 10" xfId="500"/>
    <cellStyle name="Normal 14 10 2" xfId="501"/>
    <cellStyle name="Normal 14 10 3" xfId="502"/>
    <cellStyle name="Normal 14 11" xfId="503"/>
    <cellStyle name="Normal 14 11 2" xfId="504"/>
    <cellStyle name="Normal 14 11 3" xfId="505"/>
    <cellStyle name="Normal 14 12" xfId="506"/>
    <cellStyle name="Normal 14 12 2" xfId="507"/>
    <cellStyle name="Normal 14 12 3" xfId="508"/>
    <cellStyle name="Normal 14 13" xfId="509"/>
    <cellStyle name="Normal 14 13 2" xfId="510"/>
    <cellStyle name="Normal 14 13 3" xfId="511"/>
    <cellStyle name="Normal 14 14" xfId="512"/>
    <cellStyle name="Normal 14 14 2" xfId="513"/>
    <cellStyle name="Normal 14 14 3" xfId="514"/>
    <cellStyle name="Normal 14 15" xfId="515"/>
    <cellStyle name="Normal 14 15 2" xfId="516"/>
    <cellStyle name="Normal 14 15 3" xfId="517"/>
    <cellStyle name="Normal 14 16" xfId="518"/>
    <cellStyle name="Normal 14 16 2" xfId="519"/>
    <cellStyle name="Normal 14 16 3" xfId="520"/>
    <cellStyle name="Normal 14 17" xfId="521"/>
    <cellStyle name="Normal 14 18" xfId="522"/>
    <cellStyle name="Normal 14 19" xfId="523"/>
    <cellStyle name="Normal 14 2" xfId="524"/>
    <cellStyle name="Normal 14 2 2" xfId="525"/>
    <cellStyle name="Normal 14 2 3" xfId="526"/>
    <cellStyle name="Normal 14 3" xfId="527"/>
    <cellStyle name="Normal 14 3 2" xfId="528"/>
    <cellStyle name="Normal 14 3 3" xfId="529"/>
    <cellStyle name="Normal 14 4" xfId="530"/>
    <cellStyle name="Normal 14 4 2" xfId="531"/>
    <cellStyle name="Normal 14 4 3" xfId="532"/>
    <cellStyle name="Normal 14 5" xfId="533"/>
    <cellStyle name="Normal 14 5 2" xfId="534"/>
    <cellStyle name="Normal 14 5 3" xfId="535"/>
    <cellStyle name="Normal 14 6" xfId="536"/>
    <cellStyle name="Normal 14 6 2" xfId="537"/>
    <cellStyle name="Normal 14 6 3" xfId="538"/>
    <cellStyle name="Normal 14 7" xfId="539"/>
    <cellStyle name="Normal 14 7 2" xfId="540"/>
    <cellStyle name="Normal 14 7 3" xfId="541"/>
    <cellStyle name="Normal 14 8" xfId="542"/>
    <cellStyle name="Normal 14 8 2" xfId="543"/>
    <cellStyle name="Normal 14 8 3" xfId="544"/>
    <cellStyle name="Normal 14 9" xfId="545"/>
    <cellStyle name="Normal 14 9 2" xfId="546"/>
    <cellStyle name="Normal 14 9 3" xfId="547"/>
    <cellStyle name="Normal 15" xfId="548"/>
    <cellStyle name="Normal 15 2" xfId="549"/>
    <cellStyle name="Normal 15 3" xfId="550"/>
    <cellStyle name="Normal 15 4" xfId="551"/>
    <cellStyle name="Normal 16" xfId="552"/>
    <cellStyle name="Normal 16 10" xfId="553"/>
    <cellStyle name="Normal 16 10 2" xfId="554"/>
    <cellStyle name="Normal 16 10 3" xfId="555"/>
    <cellStyle name="Normal 16 11" xfId="556"/>
    <cellStyle name="Normal 16 11 2" xfId="557"/>
    <cellStyle name="Normal 16 11 3" xfId="558"/>
    <cellStyle name="Normal 16 12" xfId="559"/>
    <cellStyle name="Normal 16 12 2" xfId="560"/>
    <cellStyle name="Normal 16 12 3" xfId="561"/>
    <cellStyle name="Normal 16 13" xfId="562"/>
    <cellStyle name="Normal 16 13 2" xfId="563"/>
    <cellStyle name="Normal 16 13 3" xfId="564"/>
    <cellStyle name="Normal 16 14" xfId="565"/>
    <cellStyle name="Normal 16 14 2" xfId="566"/>
    <cellStyle name="Normal 16 14 3" xfId="567"/>
    <cellStyle name="Normal 16 15" xfId="568"/>
    <cellStyle name="Normal 16 15 2" xfId="569"/>
    <cellStyle name="Normal 16 15 3" xfId="570"/>
    <cellStyle name="Normal 16 16" xfId="571"/>
    <cellStyle name="Normal 16 16 2" xfId="572"/>
    <cellStyle name="Normal 16 16 3" xfId="573"/>
    <cellStyle name="Normal 16 17" xfId="574"/>
    <cellStyle name="Normal 16 18" xfId="575"/>
    <cellStyle name="Normal 16 19" xfId="576"/>
    <cellStyle name="Normal 16 2" xfId="577"/>
    <cellStyle name="Normal 16 2 2" xfId="578"/>
    <cellStyle name="Normal 16 2 3" xfId="579"/>
    <cellStyle name="Normal 16 3" xfId="580"/>
    <cellStyle name="Normal 16 3 2" xfId="581"/>
    <cellStyle name="Normal 16 3 3" xfId="582"/>
    <cellStyle name="Normal 16 4" xfId="583"/>
    <cellStyle name="Normal 16 4 2" xfId="584"/>
    <cellStyle name="Normal 16 4 3" xfId="585"/>
    <cellStyle name="Normal 16 5" xfId="586"/>
    <cellStyle name="Normal 16 5 2" xfId="587"/>
    <cellStyle name="Normal 16 5 3" xfId="588"/>
    <cellStyle name="Normal 16 6" xfId="589"/>
    <cellStyle name="Normal 16 6 2" xfId="590"/>
    <cellStyle name="Normal 16 6 3" xfId="591"/>
    <cellStyle name="Normal 16 7" xfId="592"/>
    <cellStyle name="Normal 16 7 2" xfId="593"/>
    <cellStyle name="Normal 16 7 3" xfId="594"/>
    <cellStyle name="Normal 16 8" xfId="595"/>
    <cellStyle name="Normal 16 8 2" xfId="596"/>
    <cellStyle name="Normal 16 8 3" xfId="597"/>
    <cellStyle name="Normal 16 9" xfId="598"/>
    <cellStyle name="Normal 16 9 2" xfId="599"/>
    <cellStyle name="Normal 16 9 3" xfId="600"/>
    <cellStyle name="Normal 17" xfId="601"/>
    <cellStyle name="Normal 18" xfId="28"/>
    <cellStyle name="Normal 18 10" xfId="602"/>
    <cellStyle name="Normal 18 10 2" xfId="603"/>
    <cellStyle name="Normal 18 10 3" xfId="604"/>
    <cellStyle name="Normal 18 11" xfId="605"/>
    <cellStyle name="Normal 18 11 2" xfId="606"/>
    <cellStyle name="Normal 18 11 3" xfId="607"/>
    <cellStyle name="Normal 18 12" xfId="608"/>
    <cellStyle name="Normal 18 12 2" xfId="609"/>
    <cellStyle name="Normal 18 12 3" xfId="610"/>
    <cellStyle name="Normal 18 13" xfId="611"/>
    <cellStyle name="Normal 18 13 2" xfId="612"/>
    <cellStyle name="Normal 18 13 3" xfId="613"/>
    <cellStyle name="Normal 18 14" xfId="614"/>
    <cellStyle name="Normal 18 14 2" xfId="615"/>
    <cellStyle name="Normal 18 14 3" xfId="616"/>
    <cellStyle name="Normal 18 15" xfId="617"/>
    <cellStyle name="Normal 18 15 2" xfId="618"/>
    <cellStyle name="Normal 18 15 3" xfId="619"/>
    <cellStyle name="Normal 18 16" xfId="620"/>
    <cellStyle name="Normal 18 16 2" xfId="621"/>
    <cellStyle name="Normal 18 16 3" xfId="622"/>
    <cellStyle name="Normal 18 17" xfId="623"/>
    <cellStyle name="Normal 18 18" xfId="624"/>
    <cellStyle name="Normal 18 19" xfId="625"/>
    <cellStyle name="Normal 18 2" xfId="626"/>
    <cellStyle name="Normal 18 2 2" xfId="627"/>
    <cellStyle name="Normal 18 2 3" xfId="628"/>
    <cellStyle name="Normal 18 20" xfId="2433"/>
    <cellStyle name="Normal 18 3" xfId="629"/>
    <cellStyle name="Normal 18 3 2" xfId="630"/>
    <cellStyle name="Normal 18 3 3" xfId="631"/>
    <cellStyle name="Normal 18 4" xfId="632"/>
    <cellStyle name="Normal 18 4 2" xfId="633"/>
    <cellStyle name="Normal 18 4 3" xfId="634"/>
    <cellStyle name="Normal 18 5" xfId="635"/>
    <cellStyle name="Normal 18 5 2" xfId="636"/>
    <cellStyle name="Normal 18 5 3" xfId="637"/>
    <cellStyle name="Normal 18 6" xfId="638"/>
    <cellStyle name="Normal 18 6 2" xfId="639"/>
    <cellStyle name="Normal 18 6 3" xfId="640"/>
    <cellStyle name="Normal 18 7" xfId="641"/>
    <cellStyle name="Normal 18 7 2" xfId="642"/>
    <cellStyle name="Normal 18 7 3" xfId="643"/>
    <cellStyle name="Normal 18 8" xfId="644"/>
    <cellStyle name="Normal 18 8 2" xfId="645"/>
    <cellStyle name="Normal 18 8 3" xfId="646"/>
    <cellStyle name="Normal 18 9" xfId="647"/>
    <cellStyle name="Normal 18 9 2" xfId="648"/>
    <cellStyle name="Normal 18 9 3" xfId="649"/>
    <cellStyle name="Normal 19" xfId="29"/>
    <cellStyle name="Normal 19 2" xfId="2434"/>
    <cellStyle name="Normal 2" xfId="2"/>
    <cellStyle name="Normal 2 10" xfId="650"/>
    <cellStyle name="Normal 2 10 2" xfId="651"/>
    <cellStyle name="Normal 2 10 3" xfId="652"/>
    <cellStyle name="Normal 2 11" xfId="653"/>
    <cellStyle name="Normal 2 11 2" xfId="654"/>
    <cellStyle name="Normal 2 11 3" xfId="655"/>
    <cellStyle name="Normal 2 12" xfId="656"/>
    <cellStyle name="Normal 2 12 2" xfId="657"/>
    <cellStyle name="Normal 2 12 3" xfId="658"/>
    <cellStyle name="Normal 2 13" xfId="659"/>
    <cellStyle name="Normal 2 13 2" xfId="660"/>
    <cellStyle name="Normal 2 13 3" xfId="661"/>
    <cellStyle name="Normal 2 14" xfId="662"/>
    <cellStyle name="Normal 2 14 2" xfId="663"/>
    <cellStyle name="Normal 2 14 3" xfId="664"/>
    <cellStyle name="Normal 2 15" xfId="665"/>
    <cellStyle name="Normal 2 15 2" xfId="666"/>
    <cellStyle name="Normal 2 15 3" xfId="667"/>
    <cellStyle name="Normal 2 16" xfId="668"/>
    <cellStyle name="Normal 2 16 2" xfId="669"/>
    <cellStyle name="Normal 2 16 3" xfId="670"/>
    <cellStyle name="Normal 2 17" xfId="671"/>
    <cellStyle name="Normal 2 17 2" xfId="672"/>
    <cellStyle name="Normal 2 17 3" xfId="673"/>
    <cellStyle name="Normal 2 18" xfId="674"/>
    <cellStyle name="Normal 2 18 2" xfId="675"/>
    <cellStyle name="Normal 2 18 3" xfId="676"/>
    <cellStyle name="Normal 2 19" xfId="677"/>
    <cellStyle name="Normal 2 19 2" xfId="678"/>
    <cellStyle name="Normal 2 19 3" xfId="679"/>
    <cellStyle name="Normal 2 2" xfId="1"/>
    <cellStyle name="Normal 2 2 10" xfId="680"/>
    <cellStyle name="Normal 2 2 11" xfId="681"/>
    <cellStyle name="Normal 2 2 2" xfId="12"/>
    <cellStyle name="Normal 2 2 2 10" xfId="682"/>
    <cellStyle name="Normal 2 2 2 11" xfId="683"/>
    <cellStyle name="Normal 2 2 2 12" xfId="684"/>
    <cellStyle name="Normal 2 2 2 13" xfId="685"/>
    <cellStyle name="Normal 2 2 2 14" xfId="686"/>
    <cellStyle name="Normal 2 2 2 15" xfId="687"/>
    <cellStyle name="Normal 2 2 2 16" xfId="688"/>
    <cellStyle name="Normal 2 2 2 17" xfId="689"/>
    <cellStyle name="Normal 2 2 2 18" xfId="690"/>
    <cellStyle name="Normal 2 2 2 19" xfId="691"/>
    <cellStyle name="Normal 2 2 2 2" xfId="692"/>
    <cellStyle name="Normal 2 2 2 2 2" xfId="693"/>
    <cellStyle name="Normal 2 2 2 20" xfId="694"/>
    <cellStyle name="Normal 2 2 2 21" xfId="695"/>
    <cellStyle name="Normal 2 2 2 22" xfId="696"/>
    <cellStyle name="Normal 2 2 2 23" xfId="697"/>
    <cellStyle name="Normal 2 2 2 3" xfId="698"/>
    <cellStyle name="Normal 2 2 2 4" xfId="699"/>
    <cellStyle name="Normal 2 2 2 5" xfId="700"/>
    <cellStyle name="Normal 2 2 2 6" xfId="701"/>
    <cellStyle name="Normal 2 2 2 7" xfId="702"/>
    <cellStyle name="Normal 2 2 2 8" xfId="703"/>
    <cellStyle name="Normal 2 2 2 9" xfId="704"/>
    <cellStyle name="Normal 2 2 3" xfId="23"/>
    <cellStyle name="Normal 2 2 3 10" xfId="705"/>
    <cellStyle name="Normal 2 2 3 11" xfId="706"/>
    <cellStyle name="Normal 2 2 3 12" xfId="707"/>
    <cellStyle name="Normal 2 2 3 13" xfId="708"/>
    <cellStyle name="Normal 2 2 3 14" xfId="709"/>
    <cellStyle name="Normal 2 2 3 15" xfId="710"/>
    <cellStyle name="Normal 2 2 3 16" xfId="711"/>
    <cellStyle name="Normal 2 2 3 17" xfId="712"/>
    <cellStyle name="Normal 2 2 3 17 2" xfId="713"/>
    <cellStyle name="Normal 2 2 3 17 3" xfId="714"/>
    <cellStyle name="Normal 2 2 3 18" xfId="715"/>
    <cellStyle name="Normal 2 2 3 18 2" xfId="716"/>
    <cellStyle name="Normal 2 2 3 18 3" xfId="717"/>
    <cellStyle name="Normal 2 2 3 19" xfId="718"/>
    <cellStyle name="Normal 2 2 3 2" xfId="719"/>
    <cellStyle name="Normal 2 2 3 2 2" xfId="720"/>
    <cellStyle name="Normal 2 2 3 20" xfId="721"/>
    <cellStyle name="Normal 2 2 3 21" xfId="722"/>
    <cellStyle name="Normal 2 2 3 22" xfId="723"/>
    <cellStyle name="Normal 2 2 3 23" xfId="724"/>
    <cellStyle name="Normal 2 2 3 3" xfId="725"/>
    <cellStyle name="Normal 2 2 3 3 2" xfId="726"/>
    <cellStyle name="Normal 2 2 3 4" xfId="727"/>
    <cellStyle name="Normal 2 2 3 4 2" xfId="728"/>
    <cellStyle name="Normal 2 2 3 5" xfId="729"/>
    <cellStyle name="Normal 2 2 3 5 2" xfId="730"/>
    <cellStyle name="Normal 2 2 3 6" xfId="731"/>
    <cellStyle name="Normal 2 2 3 6 2" xfId="732"/>
    <cellStyle name="Normal 2 2 3 7" xfId="733"/>
    <cellStyle name="Normal 2 2 3 7 2" xfId="734"/>
    <cellStyle name="Normal 2 2 3 8" xfId="735"/>
    <cellStyle name="Normal 2 2 3 9" xfId="736"/>
    <cellStyle name="Normal 2 2 4" xfId="737"/>
    <cellStyle name="Normal 2 2 4 10" xfId="738"/>
    <cellStyle name="Normal 2 2 4 11" xfId="739"/>
    <cellStyle name="Normal 2 2 4 12" xfId="740"/>
    <cellStyle name="Normal 2 2 4 13" xfId="741"/>
    <cellStyle name="Normal 2 2 4 14" xfId="742"/>
    <cellStyle name="Normal 2 2 4 15" xfId="743"/>
    <cellStyle name="Normal 2 2 4 16" xfId="744"/>
    <cellStyle name="Normal 2 2 4 17" xfId="745"/>
    <cellStyle name="Normal 2 2 4 18" xfId="746"/>
    <cellStyle name="Normal 2 2 4 19" xfId="747"/>
    <cellStyle name="Normal 2 2 4 2" xfId="748"/>
    <cellStyle name="Normal 2 2 4 2 2" xfId="749"/>
    <cellStyle name="Normal 2 2 4 20" xfId="750"/>
    <cellStyle name="Normal 2 2 4 3" xfId="751"/>
    <cellStyle name="Normal 2 2 4 3 2" xfId="752"/>
    <cellStyle name="Normal 2 2 4 4" xfId="753"/>
    <cellStyle name="Normal 2 2 4 4 2" xfId="754"/>
    <cellStyle name="Normal 2 2 4 5" xfId="755"/>
    <cellStyle name="Normal 2 2 4 6" xfId="756"/>
    <cellStyle name="Normal 2 2 4 7" xfId="757"/>
    <cellStyle name="Normal 2 2 4 8" xfId="758"/>
    <cellStyle name="Normal 2 2 4 9" xfId="759"/>
    <cellStyle name="Normal 2 2 5" xfId="760"/>
    <cellStyle name="Normal 2 2 5 2" xfId="761"/>
    <cellStyle name="Normal 2 2 6" xfId="762"/>
    <cellStyle name="Normal 2 2 6 2" xfId="763"/>
    <cellStyle name="Normal 2 2 7" xfId="764"/>
    <cellStyle name="Normal 2 2 7 2" xfId="765"/>
    <cellStyle name="Normal 2 2 8" xfId="766"/>
    <cellStyle name="Normal 2 2 8 2" xfId="767"/>
    <cellStyle name="Normal 2 2 9" xfId="768"/>
    <cellStyle name="Normal 2 20" xfId="769"/>
    <cellStyle name="Normal 2 20 2" xfId="770"/>
    <cellStyle name="Normal 2 20 3" xfId="771"/>
    <cellStyle name="Normal 2 21" xfId="772"/>
    <cellStyle name="Normal 2 21 2" xfId="773"/>
    <cellStyle name="Normal 2 21 3" xfId="774"/>
    <cellStyle name="Normal 2 22" xfId="775"/>
    <cellStyle name="Normal 2 22 2" xfId="776"/>
    <cellStyle name="Normal 2 22 3" xfId="777"/>
    <cellStyle name="Normal 2 23" xfId="778"/>
    <cellStyle name="Normal 2 23 2" xfId="779"/>
    <cellStyle name="Normal 2 23 3" xfId="780"/>
    <cellStyle name="Normal 2 24" xfId="781"/>
    <cellStyle name="Normal 2 24 2" xfId="782"/>
    <cellStyle name="Normal 2 24 3" xfId="783"/>
    <cellStyle name="Normal 2 25" xfId="784"/>
    <cellStyle name="Normal 2 25 2" xfId="785"/>
    <cellStyle name="Normal 2 25 3" xfId="786"/>
    <cellStyle name="Normal 2 26" xfId="787"/>
    <cellStyle name="Normal 2 26 2" xfId="788"/>
    <cellStyle name="Normal 2 26 3" xfId="789"/>
    <cellStyle name="Normal 2 27" xfId="790"/>
    <cellStyle name="Normal 2 27 2" xfId="791"/>
    <cellStyle name="Normal 2 27 3" xfId="792"/>
    <cellStyle name="Normal 2 28" xfId="793"/>
    <cellStyle name="Normal 2 28 2" xfId="794"/>
    <cellStyle name="Normal 2 28 3" xfId="795"/>
    <cellStyle name="Normal 2 29" xfId="796"/>
    <cellStyle name="Normal 2 29 2" xfId="797"/>
    <cellStyle name="Normal 2 29 3" xfId="798"/>
    <cellStyle name="Normal 2 3" xfId="13"/>
    <cellStyle name="Normal 2 3 2" xfId="5"/>
    <cellStyle name="Normal 2 3 2 2" xfId="37"/>
    <cellStyle name="Normal 2 3 2 2 2" xfId="799"/>
    <cellStyle name="Normal 2 3 2 2 3" xfId="2435"/>
    <cellStyle name="Normal 2 3 2 2 4" xfId="2431"/>
    <cellStyle name="Normal 2 3 2 3" xfId="800"/>
    <cellStyle name="Normal 2 3 2 3 2" xfId="2430"/>
    <cellStyle name="Normal 2 3 2 4" xfId="801"/>
    <cellStyle name="Normal 2 3 2 5" xfId="802"/>
    <cellStyle name="Normal 2 3 3" xfId="803"/>
    <cellStyle name="Normal 2 3 3 2" xfId="804"/>
    <cellStyle name="Normal 2 3 3 3" xfId="805"/>
    <cellStyle name="Normal 2 3 4" xfId="806"/>
    <cellStyle name="Normal 2 3 4 2" xfId="807"/>
    <cellStyle name="Normal 2 3 4 3" xfId="808"/>
    <cellStyle name="Normal 2 3 5" xfId="809"/>
    <cellStyle name="Normal 2 3 5 2" xfId="810"/>
    <cellStyle name="Normal 2 3 6" xfId="811"/>
    <cellStyle name="Normal 2 3 7" xfId="812"/>
    <cellStyle name="Normal 2 3 8" xfId="813"/>
    <cellStyle name="Normal 2 3 9" xfId="814"/>
    <cellStyle name="Normal 2 30" xfId="815"/>
    <cellStyle name="Normal 2 30 2" xfId="816"/>
    <cellStyle name="Normal 2 30 3" xfId="817"/>
    <cellStyle name="Normal 2 31" xfId="818"/>
    <cellStyle name="Normal 2 31 2" xfId="819"/>
    <cellStyle name="Normal 2 31 3" xfId="820"/>
    <cellStyle name="Normal 2 32" xfId="821"/>
    <cellStyle name="Normal 2 32 10" xfId="822"/>
    <cellStyle name="Normal 2 32 11" xfId="823"/>
    <cellStyle name="Normal 2 32 12" xfId="824"/>
    <cellStyle name="Normal 2 32 13" xfId="825"/>
    <cellStyle name="Normal 2 32 14" xfId="826"/>
    <cellStyle name="Normal 2 32 15" xfId="827"/>
    <cellStyle name="Normal 2 32 16" xfId="828"/>
    <cellStyle name="Normal 2 32 2" xfId="829"/>
    <cellStyle name="Normal 2 32 3" xfId="830"/>
    <cellStyle name="Normal 2 32 4" xfId="831"/>
    <cellStyle name="Normal 2 32 5" xfId="832"/>
    <cellStyle name="Normal 2 32 6" xfId="833"/>
    <cellStyle name="Normal 2 32 7" xfId="834"/>
    <cellStyle name="Normal 2 32 8" xfId="835"/>
    <cellStyle name="Normal 2 32 9" xfId="836"/>
    <cellStyle name="Normal 2 33" xfId="837"/>
    <cellStyle name="Normal 2 33 10" xfId="838"/>
    <cellStyle name="Normal 2 33 11" xfId="839"/>
    <cellStyle name="Normal 2 33 12" xfId="840"/>
    <cellStyle name="Normal 2 33 13" xfId="841"/>
    <cellStyle name="Normal 2 33 14" xfId="842"/>
    <cellStyle name="Normal 2 33 15" xfId="843"/>
    <cellStyle name="Normal 2 33 16" xfId="844"/>
    <cellStyle name="Normal 2 33 2" xfId="845"/>
    <cellStyle name="Normal 2 33 3" xfId="846"/>
    <cellStyle name="Normal 2 33 4" xfId="847"/>
    <cellStyle name="Normal 2 33 5" xfId="848"/>
    <cellStyle name="Normal 2 33 6" xfId="849"/>
    <cellStyle name="Normal 2 33 7" xfId="850"/>
    <cellStyle name="Normal 2 33 8" xfId="851"/>
    <cellStyle name="Normal 2 33 9" xfId="852"/>
    <cellStyle name="Normal 2 34" xfId="853"/>
    <cellStyle name="Normal 2 34 10" xfId="854"/>
    <cellStyle name="Normal 2 34 11" xfId="855"/>
    <cellStyle name="Normal 2 34 12" xfId="856"/>
    <cellStyle name="Normal 2 34 13" xfId="857"/>
    <cellStyle name="Normal 2 34 14" xfId="858"/>
    <cellStyle name="Normal 2 34 15" xfId="859"/>
    <cellStyle name="Normal 2 34 16" xfId="860"/>
    <cellStyle name="Normal 2 34 2" xfId="861"/>
    <cellStyle name="Normal 2 34 3" xfId="862"/>
    <cellStyle name="Normal 2 34 4" xfId="863"/>
    <cellStyle name="Normal 2 34 5" xfId="864"/>
    <cellStyle name="Normal 2 34 6" xfId="865"/>
    <cellStyle name="Normal 2 34 7" xfId="866"/>
    <cellStyle name="Normal 2 34 8" xfId="867"/>
    <cellStyle name="Normal 2 34 9" xfId="868"/>
    <cellStyle name="Normal 2 35" xfId="869"/>
    <cellStyle name="Normal 2 35 10" xfId="870"/>
    <cellStyle name="Normal 2 35 11" xfId="871"/>
    <cellStyle name="Normal 2 35 12" xfId="872"/>
    <cellStyle name="Normal 2 35 13" xfId="873"/>
    <cellStyle name="Normal 2 35 14" xfId="874"/>
    <cellStyle name="Normal 2 35 15" xfId="875"/>
    <cellStyle name="Normal 2 35 16" xfId="876"/>
    <cellStyle name="Normal 2 35 2" xfId="877"/>
    <cellStyle name="Normal 2 35 3" xfId="878"/>
    <cellStyle name="Normal 2 35 4" xfId="879"/>
    <cellStyle name="Normal 2 35 5" xfId="880"/>
    <cellStyle name="Normal 2 35 6" xfId="881"/>
    <cellStyle name="Normal 2 35 7" xfId="882"/>
    <cellStyle name="Normal 2 35 8" xfId="883"/>
    <cellStyle name="Normal 2 35 9" xfId="884"/>
    <cellStyle name="Normal 2 36" xfId="885"/>
    <cellStyle name="Normal 2 36 10" xfId="886"/>
    <cellStyle name="Normal 2 36 11" xfId="887"/>
    <cellStyle name="Normal 2 36 12" xfId="888"/>
    <cellStyle name="Normal 2 36 13" xfId="889"/>
    <cellStyle name="Normal 2 36 14" xfId="890"/>
    <cellStyle name="Normal 2 36 15" xfId="891"/>
    <cellStyle name="Normal 2 36 16" xfId="892"/>
    <cellStyle name="Normal 2 36 2" xfId="893"/>
    <cellStyle name="Normal 2 36 3" xfId="894"/>
    <cellStyle name="Normal 2 36 4" xfId="895"/>
    <cellStyle name="Normal 2 36 5" xfId="896"/>
    <cellStyle name="Normal 2 36 6" xfId="897"/>
    <cellStyle name="Normal 2 36 7" xfId="898"/>
    <cellStyle name="Normal 2 36 8" xfId="899"/>
    <cellStyle name="Normal 2 36 9" xfId="900"/>
    <cellStyle name="Normal 2 37" xfId="901"/>
    <cellStyle name="Normal 2 37 10" xfId="902"/>
    <cellStyle name="Normal 2 37 11" xfId="903"/>
    <cellStyle name="Normal 2 37 12" xfId="904"/>
    <cellStyle name="Normal 2 37 13" xfId="905"/>
    <cellStyle name="Normal 2 37 14" xfId="906"/>
    <cellStyle name="Normal 2 37 15" xfId="907"/>
    <cellStyle name="Normal 2 37 16" xfId="908"/>
    <cellStyle name="Normal 2 37 2" xfId="909"/>
    <cellStyle name="Normal 2 37 3" xfId="910"/>
    <cellStyle name="Normal 2 37 4" xfId="911"/>
    <cellStyle name="Normal 2 37 5" xfId="912"/>
    <cellStyle name="Normal 2 37 6" xfId="913"/>
    <cellStyle name="Normal 2 37 7" xfId="914"/>
    <cellStyle name="Normal 2 37 8" xfId="915"/>
    <cellStyle name="Normal 2 37 9" xfId="916"/>
    <cellStyle name="Normal 2 38" xfId="917"/>
    <cellStyle name="Normal 2 38 10" xfId="918"/>
    <cellStyle name="Normal 2 38 11" xfId="919"/>
    <cellStyle name="Normal 2 38 12" xfId="920"/>
    <cellStyle name="Normal 2 38 13" xfId="921"/>
    <cellStyle name="Normal 2 38 14" xfId="922"/>
    <cellStyle name="Normal 2 38 15" xfId="923"/>
    <cellStyle name="Normal 2 38 16" xfId="924"/>
    <cellStyle name="Normal 2 38 2" xfId="925"/>
    <cellStyle name="Normal 2 38 3" xfId="926"/>
    <cellStyle name="Normal 2 38 4" xfId="927"/>
    <cellStyle name="Normal 2 38 5" xfId="928"/>
    <cellStyle name="Normal 2 38 6" xfId="929"/>
    <cellStyle name="Normal 2 38 7" xfId="930"/>
    <cellStyle name="Normal 2 38 8" xfId="931"/>
    <cellStyle name="Normal 2 38 9" xfId="932"/>
    <cellStyle name="Normal 2 39" xfId="933"/>
    <cellStyle name="Normal 2 39 10" xfId="934"/>
    <cellStyle name="Normal 2 39 11" xfId="935"/>
    <cellStyle name="Normal 2 39 12" xfId="936"/>
    <cellStyle name="Normal 2 39 13" xfId="937"/>
    <cellStyle name="Normal 2 39 14" xfId="938"/>
    <cellStyle name="Normal 2 39 15" xfId="939"/>
    <cellStyle name="Normal 2 39 16" xfId="940"/>
    <cellStyle name="Normal 2 39 2" xfId="941"/>
    <cellStyle name="Normal 2 39 3" xfId="942"/>
    <cellStyle name="Normal 2 39 4" xfId="943"/>
    <cellStyle name="Normal 2 39 5" xfId="944"/>
    <cellStyle name="Normal 2 39 6" xfId="945"/>
    <cellStyle name="Normal 2 39 7" xfId="946"/>
    <cellStyle name="Normal 2 39 8" xfId="947"/>
    <cellStyle name="Normal 2 39 9" xfId="948"/>
    <cellStyle name="Normal 2 4" xfId="14"/>
    <cellStyle name="Normal 2 4 2" xfId="949"/>
    <cellStyle name="Normal 2 4 3" xfId="950"/>
    <cellStyle name="Normal 2 4 4" xfId="951"/>
    <cellStyle name="Normal 2 4 5" xfId="952"/>
    <cellStyle name="Normal 2 40" xfId="953"/>
    <cellStyle name="Normal 2 40 10" xfId="954"/>
    <cellStyle name="Normal 2 40 11" xfId="955"/>
    <cellStyle name="Normal 2 40 12" xfId="956"/>
    <cellStyle name="Normal 2 40 13" xfId="957"/>
    <cellStyle name="Normal 2 40 14" xfId="958"/>
    <cellStyle name="Normal 2 40 15" xfId="959"/>
    <cellStyle name="Normal 2 40 16" xfId="960"/>
    <cellStyle name="Normal 2 40 2" xfId="961"/>
    <cellStyle name="Normal 2 40 3" xfId="962"/>
    <cellStyle name="Normal 2 40 4" xfId="963"/>
    <cellStyle name="Normal 2 40 5" xfId="964"/>
    <cellStyle name="Normal 2 40 6" xfId="965"/>
    <cellStyle name="Normal 2 40 7" xfId="966"/>
    <cellStyle name="Normal 2 40 8" xfId="967"/>
    <cellStyle name="Normal 2 40 9" xfId="968"/>
    <cellStyle name="Normal 2 41" xfId="969"/>
    <cellStyle name="Normal 2 41 10" xfId="970"/>
    <cellStyle name="Normal 2 41 11" xfId="971"/>
    <cellStyle name="Normal 2 41 12" xfId="972"/>
    <cellStyle name="Normal 2 41 13" xfId="973"/>
    <cellStyle name="Normal 2 41 14" xfId="974"/>
    <cellStyle name="Normal 2 41 15" xfId="975"/>
    <cellStyle name="Normal 2 41 16" xfId="976"/>
    <cellStyle name="Normal 2 41 2" xfId="977"/>
    <cellStyle name="Normal 2 41 3" xfId="978"/>
    <cellStyle name="Normal 2 41 4" xfId="979"/>
    <cellStyle name="Normal 2 41 5" xfId="980"/>
    <cellStyle name="Normal 2 41 6" xfId="981"/>
    <cellStyle name="Normal 2 41 7" xfId="982"/>
    <cellStyle name="Normal 2 41 8" xfId="983"/>
    <cellStyle name="Normal 2 41 9" xfId="984"/>
    <cellStyle name="Normal 2 42" xfId="985"/>
    <cellStyle name="Normal 2 42 10" xfId="986"/>
    <cellStyle name="Normal 2 42 11" xfId="987"/>
    <cellStyle name="Normal 2 42 12" xfId="988"/>
    <cellStyle name="Normal 2 42 13" xfId="989"/>
    <cellStyle name="Normal 2 42 14" xfId="990"/>
    <cellStyle name="Normal 2 42 15" xfId="991"/>
    <cellStyle name="Normal 2 42 16" xfId="992"/>
    <cellStyle name="Normal 2 42 2" xfId="993"/>
    <cellStyle name="Normal 2 42 3" xfId="994"/>
    <cellStyle name="Normal 2 42 4" xfId="995"/>
    <cellStyle name="Normal 2 42 5" xfId="996"/>
    <cellStyle name="Normal 2 42 6" xfId="997"/>
    <cellStyle name="Normal 2 42 7" xfId="998"/>
    <cellStyle name="Normal 2 42 8" xfId="999"/>
    <cellStyle name="Normal 2 42 9" xfId="1000"/>
    <cellStyle name="Normal 2 43" xfId="1001"/>
    <cellStyle name="Normal 2 43 10" xfId="1002"/>
    <cellStyle name="Normal 2 43 11" xfId="1003"/>
    <cellStyle name="Normal 2 43 12" xfId="1004"/>
    <cellStyle name="Normal 2 43 13" xfId="1005"/>
    <cellStyle name="Normal 2 43 14" xfId="1006"/>
    <cellStyle name="Normal 2 43 15" xfId="1007"/>
    <cellStyle name="Normal 2 43 16" xfId="1008"/>
    <cellStyle name="Normal 2 43 2" xfId="1009"/>
    <cellStyle name="Normal 2 43 3" xfId="1010"/>
    <cellStyle name="Normal 2 43 4" xfId="1011"/>
    <cellStyle name="Normal 2 43 5" xfId="1012"/>
    <cellStyle name="Normal 2 43 6" xfId="1013"/>
    <cellStyle name="Normal 2 43 7" xfId="1014"/>
    <cellStyle name="Normal 2 43 8" xfId="1015"/>
    <cellStyle name="Normal 2 43 9" xfId="1016"/>
    <cellStyle name="Normal 2 44" xfId="1017"/>
    <cellStyle name="Normal 2 44 10" xfId="1018"/>
    <cellStyle name="Normal 2 44 11" xfId="1019"/>
    <cellStyle name="Normal 2 44 12" xfId="1020"/>
    <cellStyle name="Normal 2 44 13" xfId="1021"/>
    <cellStyle name="Normal 2 44 14" xfId="1022"/>
    <cellStyle name="Normal 2 44 15" xfId="1023"/>
    <cellStyle name="Normal 2 44 16" xfId="1024"/>
    <cellStyle name="Normal 2 44 2" xfId="1025"/>
    <cellStyle name="Normal 2 44 3" xfId="1026"/>
    <cellStyle name="Normal 2 44 4" xfId="1027"/>
    <cellStyle name="Normal 2 44 5" xfId="1028"/>
    <cellStyle name="Normal 2 44 6" xfId="1029"/>
    <cellStyle name="Normal 2 44 7" xfId="1030"/>
    <cellStyle name="Normal 2 44 8" xfId="1031"/>
    <cellStyle name="Normal 2 44 9" xfId="1032"/>
    <cellStyle name="Normal 2 45" xfId="1033"/>
    <cellStyle name="Normal 2 45 10" xfId="1034"/>
    <cellStyle name="Normal 2 45 11" xfId="1035"/>
    <cellStyle name="Normal 2 45 12" xfId="1036"/>
    <cellStyle name="Normal 2 45 13" xfId="1037"/>
    <cellStyle name="Normal 2 45 14" xfId="1038"/>
    <cellStyle name="Normal 2 45 15" xfId="1039"/>
    <cellStyle name="Normal 2 45 16" xfId="1040"/>
    <cellStyle name="Normal 2 45 2" xfId="1041"/>
    <cellStyle name="Normal 2 45 3" xfId="1042"/>
    <cellStyle name="Normal 2 45 4" xfId="1043"/>
    <cellStyle name="Normal 2 45 5" xfId="1044"/>
    <cellStyle name="Normal 2 45 6" xfId="1045"/>
    <cellStyle name="Normal 2 45 7" xfId="1046"/>
    <cellStyle name="Normal 2 45 8" xfId="1047"/>
    <cellStyle name="Normal 2 45 9" xfId="1048"/>
    <cellStyle name="Normal 2 46" xfId="1049"/>
    <cellStyle name="Normal 2 46 2" xfId="1050"/>
    <cellStyle name="Normal 2 46 3" xfId="1051"/>
    <cellStyle name="Normal 2 47" xfId="1052"/>
    <cellStyle name="Normal 2 47 2" xfId="1053"/>
    <cellStyle name="Normal 2 47 3" xfId="1054"/>
    <cellStyle name="Normal 2 48" xfId="1055"/>
    <cellStyle name="Normal 2 48 2" xfId="1056"/>
    <cellStyle name="Normal 2 48 3" xfId="1057"/>
    <cellStyle name="Normal 2 49" xfId="1058"/>
    <cellStyle name="Normal 2 49 2" xfId="1059"/>
    <cellStyle name="Normal 2 49 3" xfId="1060"/>
    <cellStyle name="Normal 2 5" xfId="30"/>
    <cellStyle name="Normal 2 5 2" xfId="1061"/>
    <cellStyle name="Normal 2 5 3" xfId="1062"/>
    <cellStyle name="Normal 2 50" xfId="1063"/>
    <cellStyle name="Normal 2 50 2" xfId="1064"/>
    <cellStyle name="Normal 2 50 3" xfId="1065"/>
    <cellStyle name="Normal 2 51" xfId="1066"/>
    <cellStyle name="Normal 2 51 2" xfId="1067"/>
    <cellStyle name="Normal 2 51 3" xfId="1068"/>
    <cellStyle name="Normal 2 52" xfId="1069"/>
    <cellStyle name="Normal 2 52 2" xfId="1070"/>
    <cellStyle name="Normal 2 52 3" xfId="1071"/>
    <cellStyle name="Normal 2 53" xfId="1072"/>
    <cellStyle name="Normal 2 53 2" xfId="1073"/>
    <cellStyle name="Normal 2 53 3" xfId="1074"/>
    <cellStyle name="Normal 2 54" xfId="1075"/>
    <cellStyle name="Normal 2 54 2" xfId="1076"/>
    <cellStyle name="Normal 2 54 3" xfId="1077"/>
    <cellStyle name="Normal 2 55" xfId="1078"/>
    <cellStyle name="Normal 2 55 10" xfId="1079"/>
    <cellStyle name="Normal 2 55 11" xfId="1080"/>
    <cellStyle name="Normal 2 55 12" xfId="1081"/>
    <cellStyle name="Normal 2 55 13" xfId="1082"/>
    <cellStyle name="Normal 2 55 14" xfId="1083"/>
    <cellStyle name="Normal 2 55 15" xfId="1084"/>
    <cellStyle name="Normal 2 55 16" xfId="1085"/>
    <cellStyle name="Normal 2 55 2" xfId="1086"/>
    <cellStyle name="Normal 2 55 3" xfId="1087"/>
    <cellStyle name="Normal 2 55 4" xfId="1088"/>
    <cellStyle name="Normal 2 55 5" xfId="1089"/>
    <cellStyle name="Normal 2 55 6" xfId="1090"/>
    <cellStyle name="Normal 2 55 7" xfId="1091"/>
    <cellStyle name="Normal 2 55 8" xfId="1092"/>
    <cellStyle name="Normal 2 55 9" xfId="1093"/>
    <cellStyle name="Normal 2 56" xfId="1094"/>
    <cellStyle name="Normal 2 56 2" xfId="1095"/>
    <cellStyle name="Normal 2 56 3" xfId="1096"/>
    <cellStyle name="Normal 2 57" xfId="1097"/>
    <cellStyle name="Normal 2 57 2" xfId="1098"/>
    <cellStyle name="Normal 2 57 3" xfId="1099"/>
    <cellStyle name="Normal 2 58" xfId="1100"/>
    <cellStyle name="Normal 2 58 2" xfId="1101"/>
    <cellStyle name="Normal 2 58 3" xfId="1102"/>
    <cellStyle name="Normal 2 59" xfId="1103"/>
    <cellStyle name="Normal 2 59 2" xfId="1104"/>
    <cellStyle name="Normal 2 59 3" xfId="1105"/>
    <cellStyle name="Normal 2 6" xfId="1106"/>
    <cellStyle name="Normal 2 6 2" xfId="1107"/>
    <cellStyle name="Normal 2 6 3" xfId="1108"/>
    <cellStyle name="Normal 2 60" xfId="1109"/>
    <cellStyle name="Normal 2 60 2" xfId="1110"/>
    <cellStyle name="Normal 2 60 3" xfId="1111"/>
    <cellStyle name="Normal 2 61" xfId="1112"/>
    <cellStyle name="Normal 2 61 10" xfId="1113"/>
    <cellStyle name="Normal 2 61 11" xfId="1114"/>
    <cellStyle name="Normal 2 61 12" xfId="1115"/>
    <cellStyle name="Normal 2 61 13" xfId="1116"/>
    <cellStyle name="Normal 2 61 14" xfId="1117"/>
    <cellStyle name="Normal 2 61 15" xfId="1118"/>
    <cellStyle name="Normal 2 61 16" xfId="1119"/>
    <cellStyle name="Normal 2 61 2" xfId="1120"/>
    <cellStyle name="Normal 2 61 3" xfId="1121"/>
    <cellStyle name="Normal 2 61 4" xfId="1122"/>
    <cellStyle name="Normal 2 61 5" xfId="1123"/>
    <cellStyle name="Normal 2 61 6" xfId="1124"/>
    <cellStyle name="Normal 2 61 7" xfId="1125"/>
    <cellStyle name="Normal 2 61 8" xfId="1126"/>
    <cellStyle name="Normal 2 61 9" xfId="1127"/>
    <cellStyle name="Normal 2 62" xfId="1128"/>
    <cellStyle name="Normal 2 62 10" xfId="1129"/>
    <cellStyle name="Normal 2 62 11" xfId="1130"/>
    <cellStyle name="Normal 2 62 12" xfId="1131"/>
    <cellStyle name="Normal 2 62 13" xfId="1132"/>
    <cellStyle name="Normal 2 62 14" xfId="1133"/>
    <cellStyle name="Normal 2 62 15" xfId="1134"/>
    <cellStyle name="Normal 2 62 16" xfId="1135"/>
    <cellStyle name="Normal 2 62 2" xfId="1136"/>
    <cellStyle name="Normal 2 62 3" xfId="1137"/>
    <cellStyle name="Normal 2 62 4" xfId="1138"/>
    <cellStyle name="Normal 2 62 5" xfId="1139"/>
    <cellStyle name="Normal 2 62 6" xfId="1140"/>
    <cellStyle name="Normal 2 62 7" xfId="1141"/>
    <cellStyle name="Normal 2 62 8" xfId="1142"/>
    <cellStyle name="Normal 2 62 9" xfId="1143"/>
    <cellStyle name="Normal 2 63" xfId="1144"/>
    <cellStyle name="Normal 2 63 2" xfId="1145"/>
    <cellStyle name="Normal 2 63 3" xfId="1146"/>
    <cellStyle name="Normal 2 64" xfId="1147"/>
    <cellStyle name="Normal 2 64 2" xfId="1148"/>
    <cellStyle name="Normal 2 64 3" xfId="1149"/>
    <cellStyle name="Normal 2 65" xfId="1150"/>
    <cellStyle name="Normal 2 65 2" xfId="1151"/>
    <cellStyle name="Normal 2 65 3" xfId="1152"/>
    <cellStyle name="Normal 2 66" xfId="1153"/>
    <cellStyle name="Normal 2 67" xfId="1154"/>
    <cellStyle name="Normal 2 68" xfId="1155"/>
    <cellStyle name="Normal 2 69" xfId="1156"/>
    <cellStyle name="Normal 2 7" xfId="1157"/>
    <cellStyle name="Normal 2 7 2" xfId="1158"/>
    <cellStyle name="Normal 2 7 3" xfId="1159"/>
    <cellStyle name="Normal 2 70" xfId="1160"/>
    <cellStyle name="Normal 2 71" xfId="1161"/>
    <cellStyle name="Normal 2 72" xfId="1162"/>
    <cellStyle name="Normal 2 8" xfId="1163"/>
    <cellStyle name="Normal 2 8 2" xfId="1164"/>
    <cellStyle name="Normal 2 8 3" xfId="1165"/>
    <cellStyle name="Normal 2 9" xfId="1166"/>
    <cellStyle name="Normal 2 9 2" xfId="1167"/>
    <cellStyle name="Normal 2 9 3" xfId="1168"/>
    <cellStyle name="Normal 20" xfId="1169"/>
    <cellStyle name="Normal 20 10" xfId="1170"/>
    <cellStyle name="Normal 20 10 2" xfId="1171"/>
    <cellStyle name="Normal 20 10 3" xfId="1172"/>
    <cellStyle name="Normal 20 11" xfId="1173"/>
    <cellStyle name="Normal 20 11 2" xfId="1174"/>
    <cellStyle name="Normal 20 11 3" xfId="1175"/>
    <cellStyle name="Normal 20 12" xfId="1176"/>
    <cellStyle name="Normal 20 12 2" xfId="1177"/>
    <cellStyle name="Normal 20 12 3" xfId="1178"/>
    <cellStyle name="Normal 20 13" xfId="1179"/>
    <cellStyle name="Normal 20 13 2" xfId="1180"/>
    <cellStyle name="Normal 20 13 3" xfId="1181"/>
    <cellStyle name="Normal 20 14" xfId="1182"/>
    <cellStyle name="Normal 20 14 2" xfId="1183"/>
    <cellStyle name="Normal 20 14 3" xfId="1184"/>
    <cellStyle name="Normal 20 15" xfId="1185"/>
    <cellStyle name="Normal 20 15 2" xfId="1186"/>
    <cellStyle name="Normal 20 15 3" xfId="1187"/>
    <cellStyle name="Normal 20 16" xfId="1188"/>
    <cellStyle name="Normal 20 16 2" xfId="1189"/>
    <cellStyle name="Normal 20 16 3" xfId="1190"/>
    <cellStyle name="Normal 20 17" xfId="1191"/>
    <cellStyle name="Normal 20 18" xfId="1192"/>
    <cellStyle name="Normal 20 19" xfId="1193"/>
    <cellStyle name="Normal 20 2" xfId="1194"/>
    <cellStyle name="Normal 20 2 2" xfId="1195"/>
    <cellStyle name="Normal 20 2 3" xfId="1196"/>
    <cellStyle name="Normal 20 3" xfId="1197"/>
    <cellStyle name="Normal 20 3 2" xfId="1198"/>
    <cellStyle name="Normal 20 3 3" xfId="1199"/>
    <cellStyle name="Normal 20 4" xfId="1200"/>
    <cellStyle name="Normal 20 4 2" xfId="1201"/>
    <cellStyle name="Normal 20 4 3" xfId="1202"/>
    <cellStyle name="Normal 20 5" xfId="1203"/>
    <cellStyle name="Normal 20 5 2" xfId="1204"/>
    <cellStyle name="Normal 20 5 3" xfId="1205"/>
    <cellStyle name="Normal 20 6" xfId="1206"/>
    <cellStyle name="Normal 20 6 2" xfId="1207"/>
    <cellStyle name="Normal 20 6 3" xfId="1208"/>
    <cellStyle name="Normal 20 7" xfId="1209"/>
    <cellStyle name="Normal 20 7 2" xfId="1210"/>
    <cellStyle name="Normal 20 7 3" xfId="1211"/>
    <cellStyle name="Normal 20 8" xfId="1212"/>
    <cellStyle name="Normal 20 8 2" xfId="1213"/>
    <cellStyle name="Normal 20 8 3" xfId="1214"/>
    <cellStyle name="Normal 20 9" xfId="1215"/>
    <cellStyle name="Normal 20 9 2" xfId="1216"/>
    <cellStyle name="Normal 20 9 3" xfId="1217"/>
    <cellStyle name="Normal 21" xfId="1218"/>
    <cellStyle name="Normal 21 10" xfId="1219"/>
    <cellStyle name="Normal 21 10 2" xfId="1220"/>
    <cellStyle name="Normal 21 10 3" xfId="1221"/>
    <cellStyle name="Normal 21 11" xfId="1222"/>
    <cellStyle name="Normal 21 11 2" xfId="1223"/>
    <cellStyle name="Normal 21 11 3" xfId="1224"/>
    <cellStyle name="Normal 21 12" xfId="1225"/>
    <cellStyle name="Normal 21 12 2" xfId="1226"/>
    <cellStyle name="Normal 21 12 3" xfId="1227"/>
    <cellStyle name="Normal 21 13" xfId="1228"/>
    <cellStyle name="Normal 21 13 2" xfId="1229"/>
    <cellStyle name="Normal 21 13 3" xfId="1230"/>
    <cellStyle name="Normal 21 14" xfId="1231"/>
    <cellStyle name="Normal 21 14 2" xfId="1232"/>
    <cellStyle name="Normal 21 14 3" xfId="1233"/>
    <cellStyle name="Normal 21 15" xfId="1234"/>
    <cellStyle name="Normal 21 15 2" xfId="1235"/>
    <cellStyle name="Normal 21 15 3" xfId="1236"/>
    <cellStyle name="Normal 21 16" xfId="1237"/>
    <cellStyle name="Normal 21 16 2" xfId="1238"/>
    <cellStyle name="Normal 21 16 3" xfId="1239"/>
    <cellStyle name="Normal 21 2" xfId="1240"/>
    <cellStyle name="Normal 21 2 2" xfId="1241"/>
    <cellStyle name="Normal 21 2 3" xfId="1242"/>
    <cellStyle name="Normal 21 3" xfId="1243"/>
    <cellStyle name="Normal 21 3 2" xfId="1244"/>
    <cellStyle name="Normal 21 3 3" xfId="1245"/>
    <cellStyle name="Normal 21 4" xfId="1246"/>
    <cellStyle name="Normal 21 4 2" xfId="1247"/>
    <cellStyle name="Normal 21 4 3" xfId="1248"/>
    <cellStyle name="Normal 21 5" xfId="1249"/>
    <cellStyle name="Normal 21 5 2" xfId="1250"/>
    <cellStyle name="Normal 21 5 3" xfId="1251"/>
    <cellStyle name="Normal 21 6" xfId="1252"/>
    <cellStyle name="Normal 21 6 2" xfId="1253"/>
    <cellStyle name="Normal 21 6 3" xfId="1254"/>
    <cellStyle name="Normal 21 7" xfId="1255"/>
    <cellStyle name="Normal 21 7 2" xfId="1256"/>
    <cellStyle name="Normal 21 7 3" xfId="1257"/>
    <cellStyle name="Normal 21 8" xfId="1258"/>
    <cellStyle name="Normal 21 8 2" xfId="1259"/>
    <cellStyle name="Normal 21 8 3" xfId="1260"/>
    <cellStyle name="Normal 21 9" xfId="1261"/>
    <cellStyle name="Normal 21 9 2" xfId="1262"/>
    <cellStyle name="Normal 21 9 3" xfId="1263"/>
    <cellStyle name="Normal 22" xfId="1264"/>
    <cellStyle name="Normal 22 10" xfId="1265"/>
    <cellStyle name="Normal 22 10 2" xfId="1266"/>
    <cellStyle name="Normal 22 10 3" xfId="1267"/>
    <cellStyle name="Normal 22 11" xfId="1268"/>
    <cellStyle name="Normal 22 11 2" xfId="1269"/>
    <cellStyle name="Normal 22 11 3" xfId="1270"/>
    <cellStyle name="Normal 22 12" xfId="1271"/>
    <cellStyle name="Normal 22 12 2" xfId="1272"/>
    <cellStyle name="Normal 22 12 3" xfId="1273"/>
    <cellStyle name="Normal 22 13" xfId="1274"/>
    <cellStyle name="Normal 22 13 2" xfId="1275"/>
    <cellStyle name="Normal 22 13 3" xfId="1276"/>
    <cellStyle name="Normal 22 14" xfId="1277"/>
    <cellStyle name="Normal 22 14 2" xfId="1278"/>
    <cellStyle name="Normal 22 14 3" xfId="1279"/>
    <cellStyle name="Normal 22 15" xfId="1280"/>
    <cellStyle name="Normal 22 15 2" xfId="1281"/>
    <cellStyle name="Normal 22 15 3" xfId="1282"/>
    <cellStyle name="Normal 22 16" xfId="1283"/>
    <cellStyle name="Normal 22 16 2" xfId="1284"/>
    <cellStyle name="Normal 22 16 3" xfId="1285"/>
    <cellStyle name="Normal 22 17" xfId="1286"/>
    <cellStyle name="Normal 22 18" xfId="1287"/>
    <cellStyle name="Normal 22 19" xfId="1288"/>
    <cellStyle name="Normal 22 2" xfId="1289"/>
    <cellStyle name="Normal 22 2 2" xfId="1290"/>
    <cellStyle name="Normal 22 2 3" xfId="1291"/>
    <cellStyle name="Normal 22 3" xfId="1292"/>
    <cellStyle name="Normal 22 3 2" xfId="1293"/>
    <cellStyle name="Normal 22 3 3" xfId="1294"/>
    <cellStyle name="Normal 22 4" xfId="1295"/>
    <cellStyle name="Normal 22 4 2" xfId="1296"/>
    <cellStyle name="Normal 22 4 3" xfId="1297"/>
    <cellStyle name="Normal 22 5" xfId="1298"/>
    <cellStyle name="Normal 22 5 2" xfId="1299"/>
    <cellStyle name="Normal 22 5 3" xfId="1300"/>
    <cellStyle name="Normal 22 6" xfId="1301"/>
    <cellStyle name="Normal 22 6 2" xfId="1302"/>
    <cellStyle name="Normal 22 6 3" xfId="1303"/>
    <cellStyle name="Normal 22 7" xfId="1304"/>
    <cellStyle name="Normal 22 7 2" xfId="1305"/>
    <cellStyle name="Normal 22 7 3" xfId="1306"/>
    <cellStyle name="Normal 22 8" xfId="1307"/>
    <cellStyle name="Normal 22 8 2" xfId="1308"/>
    <cellStyle name="Normal 22 8 3" xfId="1309"/>
    <cellStyle name="Normal 22 9" xfId="1310"/>
    <cellStyle name="Normal 22 9 2" xfId="1311"/>
    <cellStyle name="Normal 22 9 3" xfId="1312"/>
    <cellStyle name="Normal 23" xfId="1313"/>
    <cellStyle name="Normal 23 10" xfId="1314"/>
    <cellStyle name="Normal 23 10 2" xfId="1315"/>
    <cellStyle name="Normal 23 10 3" xfId="1316"/>
    <cellStyle name="Normal 23 11" xfId="1317"/>
    <cellStyle name="Normal 23 11 2" xfId="1318"/>
    <cellStyle name="Normal 23 11 3" xfId="1319"/>
    <cellStyle name="Normal 23 12" xfId="1320"/>
    <cellStyle name="Normal 23 12 2" xfId="1321"/>
    <cellStyle name="Normal 23 12 3" xfId="1322"/>
    <cellStyle name="Normal 23 13" xfId="1323"/>
    <cellStyle name="Normal 23 13 2" xfId="1324"/>
    <cellStyle name="Normal 23 13 3" xfId="1325"/>
    <cellStyle name="Normal 23 14" xfId="1326"/>
    <cellStyle name="Normal 23 14 2" xfId="1327"/>
    <cellStyle name="Normal 23 14 3" xfId="1328"/>
    <cellStyle name="Normal 23 15" xfId="1329"/>
    <cellStyle name="Normal 23 15 2" xfId="1330"/>
    <cellStyle name="Normal 23 15 3" xfId="1331"/>
    <cellStyle name="Normal 23 16" xfId="1332"/>
    <cellStyle name="Normal 23 16 2" xfId="1333"/>
    <cellStyle name="Normal 23 16 3" xfId="1334"/>
    <cellStyle name="Normal 23 17" xfId="1335"/>
    <cellStyle name="Normal 23 18" xfId="1336"/>
    <cellStyle name="Normal 23 19" xfId="1337"/>
    <cellStyle name="Normal 23 2" xfId="1338"/>
    <cellStyle name="Normal 23 2 2" xfId="1339"/>
    <cellStyle name="Normal 23 2 3" xfId="1340"/>
    <cellStyle name="Normal 23 3" xfId="1341"/>
    <cellStyle name="Normal 23 3 2" xfId="1342"/>
    <cellStyle name="Normal 23 3 3" xfId="1343"/>
    <cellStyle name="Normal 23 4" xfId="1344"/>
    <cellStyle name="Normal 23 4 2" xfId="1345"/>
    <cellStyle name="Normal 23 4 3" xfId="1346"/>
    <cellStyle name="Normal 23 5" xfId="1347"/>
    <cellStyle name="Normal 23 5 2" xfId="1348"/>
    <cellStyle name="Normal 23 5 3" xfId="1349"/>
    <cellStyle name="Normal 23 6" xfId="1350"/>
    <cellStyle name="Normal 23 6 2" xfId="1351"/>
    <cellStyle name="Normal 23 6 3" xfId="1352"/>
    <cellStyle name="Normal 23 7" xfId="1353"/>
    <cellStyle name="Normal 23 7 2" xfId="1354"/>
    <cellStyle name="Normal 23 7 3" xfId="1355"/>
    <cellStyle name="Normal 23 8" xfId="1356"/>
    <cellStyle name="Normal 23 8 2" xfId="1357"/>
    <cellStyle name="Normal 23 8 3" xfId="1358"/>
    <cellStyle name="Normal 23 9" xfId="1359"/>
    <cellStyle name="Normal 23 9 2" xfId="1360"/>
    <cellStyle name="Normal 23 9 3" xfId="1361"/>
    <cellStyle name="Normal 24" xfId="1362"/>
    <cellStyle name="Normal 24 10" xfId="1363"/>
    <cellStyle name="Normal 24 10 2" xfId="1364"/>
    <cellStyle name="Normal 24 10 3" xfId="1365"/>
    <cellStyle name="Normal 24 11" xfId="1366"/>
    <cellStyle name="Normal 24 11 2" xfId="1367"/>
    <cellStyle name="Normal 24 11 3" xfId="1368"/>
    <cellStyle name="Normal 24 12" xfId="1369"/>
    <cellStyle name="Normal 24 12 2" xfId="1370"/>
    <cellStyle name="Normal 24 12 3" xfId="1371"/>
    <cellStyle name="Normal 24 13" xfId="1372"/>
    <cellStyle name="Normal 24 13 2" xfId="1373"/>
    <cellStyle name="Normal 24 13 3" xfId="1374"/>
    <cellStyle name="Normal 24 14" xfId="1375"/>
    <cellStyle name="Normal 24 14 2" xfId="1376"/>
    <cellStyle name="Normal 24 14 3" xfId="1377"/>
    <cellStyle name="Normal 24 15" xfId="1378"/>
    <cellStyle name="Normal 24 15 2" xfId="1379"/>
    <cellStyle name="Normal 24 15 3" xfId="1380"/>
    <cellStyle name="Normal 24 16" xfId="1381"/>
    <cellStyle name="Normal 24 16 2" xfId="1382"/>
    <cellStyle name="Normal 24 16 3" xfId="1383"/>
    <cellStyle name="Normal 24 2" xfId="1384"/>
    <cellStyle name="Normal 24 2 2" xfId="1385"/>
    <cellStyle name="Normal 24 2 3" xfId="1386"/>
    <cellStyle name="Normal 24 3" xfId="1387"/>
    <cellStyle name="Normal 24 3 2" xfId="1388"/>
    <cellStyle name="Normal 24 3 3" xfId="1389"/>
    <cellStyle name="Normal 24 4" xfId="1390"/>
    <cellStyle name="Normal 24 4 2" xfId="1391"/>
    <cellStyle name="Normal 24 4 3" xfId="1392"/>
    <cellStyle name="Normal 24 5" xfId="1393"/>
    <cellStyle name="Normal 24 5 2" xfId="1394"/>
    <cellStyle name="Normal 24 5 3" xfId="1395"/>
    <cellStyle name="Normal 24 6" xfId="1396"/>
    <cellStyle name="Normal 24 6 2" xfId="1397"/>
    <cellStyle name="Normal 24 6 3" xfId="1398"/>
    <cellStyle name="Normal 24 7" xfId="1399"/>
    <cellStyle name="Normal 24 7 2" xfId="1400"/>
    <cellStyle name="Normal 24 7 3" xfId="1401"/>
    <cellStyle name="Normal 24 8" xfId="1402"/>
    <cellStyle name="Normal 24 8 2" xfId="1403"/>
    <cellStyle name="Normal 24 8 3" xfId="1404"/>
    <cellStyle name="Normal 24 9" xfId="1405"/>
    <cellStyle name="Normal 24 9 2" xfId="1406"/>
    <cellStyle name="Normal 24 9 3" xfId="1407"/>
    <cellStyle name="Normal 25" xfId="1408"/>
    <cellStyle name="Normal 26" xfId="1409"/>
    <cellStyle name="Normal 26 10" xfId="1410"/>
    <cellStyle name="Normal 26 10 2" xfId="1411"/>
    <cellStyle name="Normal 26 10 3" xfId="1412"/>
    <cellStyle name="Normal 26 11" xfId="1413"/>
    <cellStyle name="Normal 26 11 2" xfId="1414"/>
    <cellStyle name="Normal 26 11 3" xfId="1415"/>
    <cellStyle name="Normal 26 12" xfId="1416"/>
    <cellStyle name="Normal 26 12 2" xfId="1417"/>
    <cellStyle name="Normal 26 12 3" xfId="1418"/>
    <cellStyle name="Normal 26 13" xfId="1419"/>
    <cellStyle name="Normal 26 13 2" xfId="1420"/>
    <cellStyle name="Normal 26 13 3" xfId="1421"/>
    <cellStyle name="Normal 26 14" xfId="1422"/>
    <cellStyle name="Normal 26 14 2" xfId="1423"/>
    <cellStyle name="Normal 26 14 3" xfId="1424"/>
    <cellStyle name="Normal 26 15" xfId="1425"/>
    <cellStyle name="Normal 26 15 2" xfId="1426"/>
    <cellStyle name="Normal 26 15 3" xfId="1427"/>
    <cellStyle name="Normal 26 16" xfId="1428"/>
    <cellStyle name="Normal 26 16 2" xfId="1429"/>
    <cellStyle name="Normal 26 16 3" xfId="1430"/>
    <cellStyle name="Normal 26 17" xfId="1431"/>
    <cellStyle name="Normal 26 18" xfId="1432"/>
    <cellStyle name="Normal 26 2" xfId="1433"/>
    <cellStyle name="Normal 26 2 2" xfId="1434"/>
    <cellStyle name="Normal 26 2 3" xfId="1435"/>
    <cellStyle name="Normal 26 3" xfId="1436"/>
    <cellStyle name="Normal 26 3 2" xfId="1437"/>
    <cellStyle name="Normal 26 3 3" xfId="1438"/>
    <cellStyle name="Normal 26 4" xfId="1439"/>
    <cellStyle name="Normal 26 4 2" xfId="1440"/>
    <cellStyle name="Normal 26 4 3" xfId="1441"/>
    <cellStyle name="Normal 26 5" xfId="1442"/>
    <cellStyle name="Normal 26 5 2" xfId="1443"/>
    <cellStyle name="Normal 26 5 3" xfId="1444"/>
    <cellStyle name="Normal 26 6" xfId="1445"/>
    <cellStyle name="Normal 26 6 2" xfId="1446"/>
    <cellStyle name="Normal 26 6 3" xfId="1447"/>
    <cellStyle name="Normal 26 7" xfId="1448"/>
    <cellStyle name="Normal 26 7 2" xfId="1449"/>
    <cellStyle name="Normal 26 7 3" xfId="1450"/>
    <cellStyle name="Normal 26 8" xfId="1451"/>
    <cellStyle name="Normal 26 8 2" xfId="1452"/>
    <cellStyle name="Normal 26 8 3" xfId="1453"/>
    <cellStyle name="Normal 26 9" xfId="1454"/>
    <cellStyle name="Normal 26 9 2" xfId="1455"/>
    <cellStyle name="Normal 26 9 3" xfId="1456"/>
    <cellStyle name="Normal 27" xfId="1457"/>
    <cellStyle name="Normal 27 10" xfId="1458"/>
    <cellStyle name="Normal 27 10 2" xfId="1459"/>
    <cellStyle name="Normal 27 10 3" xfId="1460"/>
    <cellStyle name="Normal 27 11" xfId="1461"/>
    <cellStyle name="Normal 27 11 2" xfId="1462"/>
    <cellStyle name="Normal 27 11 3" xfId="1463"/>
    <cellStyle name="Normal 27 12" xfId="1464"/>
    <cellStyle name="Normal 27 12 2" xfId="1465"/>
    <cellStyle name="Normal 27 12 3" xfId="1466"/>
    <cellStyle name="Normal 27 13" xfId="1467"/>
    <cellStyle name="Normal 27 13 2" xfId="1468"/>
    <cellStyle name="Normal 27 13 3" xfId="1469"/>
    <cellStyle name="Normal 27 14" xfId="1470"/>
    <cellStyle name="Normal 27 14 2" xfId="1471"/>
    <cellStyle name="Normal 27 14 3" xfId="1472"/>
    <cellStyle name="Normal 27 15" xfId="1473"/>
    <cellStyle name="Normal 27 15 2" xfId="1474"/>
    <cellStyle name="Normal 27 15 3" xfId="1475"/>
    <cellStyle name="Normal 27 16" xfId="1476"/>
    <cellStyle name="Normal 27 16 2" xfId="1477"/>
    <cellStyle name="Normal 27 16 3" xfId="1478"/>
    <cellStyle name="Normal 27 17" xfId="1479"/>
    <cellStyle name="Normal 27 18" xfId="1480"/>
    <cellStyle name="Normal 27 2" xfId="1481"/>
    <cellStyle name="Normal 27 2 2" xfId="1482"/>
    <cellStyle name="Normal 27 2 3" xfId="1483"/>
    <cellStyle name="Normal 27 3" xfId="1484"/>
    <cellStyle name="Normal 27 3 2" xfId="1485"/>
    <cellStyle name="Normal 27 3 3" xfId="1486"/>
    <cellStyle name="Normal 27 4" xfId="1487"/>
    <cellStyle name="Normal 27 4 2" xfId="1488"/>
    <cellStyle name="Normal 27 4 3" xfId="1489"/>
    <cellStyle name="Normal 27 5" xfId="1490"/>
    <cellStyle name="Normal 27 5 2" xfId="1491"/>
    <cellStyle name="Normal 27 5 3" xfId="1492"/>
    <cellStyle name="Normal 27 6" xfId="1493"/>
    <cellStyle name="Normal 27 6 2" xfId="1494"/>
    <cellStyle name="Normal 27 6 3" xfId="1495"/>
    <cellStyle name="Normal 27 7" xfId="1496"/>
    <cellStyle name="Normal 27 7 2" xfId="1497"/>
    <cellStyle name="Normal 27 7 3" xfId="1498"/>
    <cellStyle name="Normal 27 8" xfId="1499"/>
    <cellStyle name="Normal 27 8 2" xfId="1500"/>
    <cellStyle name="Normal 27 8 3" xfId="1501"/>
    <cellStyle name="Normal 27 9" xfId="1502"/>
    <cellStyle name="Normal 27 9 2" xfId="1503"/>
    <cellStyle name="Normal 27 9 3" xfId="1504"/>
    <cellStyle name="Normal 28" xfId="1505"/>
    <cellStyle name="Normal 28 10" xfId="1506"/>
    <cellStyle name="Normal 28 10 2" xfId="1507"/>
    <cellStyle name="Normal 28 10 3" xfId="1508"/>
    <cellStyle name="Normal 28 11" xfId="1509"/>
    <cellStyle name="Normal 28 11 2" xfId="1510"/>
    <cellStyle name="Normal 28 11 3" xfId="1511"/>
    <cellStyle name="Normal 28 12" xfId="1512"/>
    <cellStyle name="Normal 28 12 2" xfId="1513"/>
    <cellStyle name="Normal 28 12 3" xfId="1514"/>
    <cellStyle name="Normal 28 13" xfId="1515"/>
    <cellStyle name="Normal 28 13 2" xfId="1516"/>
    <cellStyle name="Normal 28 13 3" xfId="1517"/>
    <cellStyle name="Normal 28 14" xfId="1518"/>
    <cellStyle name="Normal 28 14 2" xfId="1519"/>
    <cellStyle name="Normal 28 14 3" xfId="1520"/>
    <cellStyle name="Normal 28 15" xfId="1521"/>
    <cellStyle name="Normal 28 15 2" xfId="1522"/>
    <cellStyle name="Normal 28 15 3" xfId="1523"/>
    <cellStyle name="Normal 28 16" xfId="1524"/>
    <cellStyle name="Normal 28 16 2" xfId="1525"/>
    <cellStyle name="Normal 28 16 3" xfId="1526"/>
    <cellStyle name="Normal 28 2" xfId="1527"/>
    <cellStyle name="Normal 28 2 2" xfId="1528"/>
    <cellStyle name="Normal 28 2 3" xfId="1529"/>
    <cellStyle name="Normal 28 3" xfId="1530"/>
    <cellStyle name="Normal 28 3 2" xfId="1531"/>
    <cellStyle name="Normal 28 3 3" xfId="1532"/>
    <cellStyle name="Normal 28 4" xfId="1533"/>
    <cellStyle name="Normal 28 4 2" xfId="1534"/>
    <cellStyle name="Normal 28 4 3" xfId="1535"/>
    <cellStyle name="Normal 28 5" xfId="1536"/>
    <cellStyle name="Normal 28 5 2" xfId="1537"/>
    <cellStyle name="Normal 28 5 3" xfId="1538"/>
    <cellStyle name="Normal 28 6" xfId="1539"/>
    <cellStyle name="Normal 28 6 2" xfId="1540"/>
    <cellStyle name="Normal 28 6 3" xfId="1541"/>
    <cellStyle name="Normal 28 7" xfId="1542"/>
    <cellStyle name="Normal 28 7 2" xfId="1543"/>
    <cellStyle name="Normal 28 7 3" xfId="1544"/>
    <cellStyle name="Normal 28 8" xfId="1545"/>
    <cellStyle name="Normal 28 8 2" xfId="1546"/>
    <cellStyle name="Normal 28 8 3" xfId="1547"/>
    <cellStyle name="Normal 28 9" xfId="1548"/>
    <cellStyle name="Normal 28 9 2" xfId="1549"/>
    <cellStyle name="Normal 28 9 3" xfId="1550"/>
    <cellStyle name="Normal 29" xfId="1551"/>
    <cellStyle name="Normal 29 10" xfId="1552"/>
    <cellStyle name="Normal 29 11" xfId="1553"/>
    <cellStyle name="Normal 29 12" xfId="1554"/>
    <cellStyle name="Normal 29 13" xfId="1555"/>
    <cellStyle name="Normal 29 14" xfId="1556"/>
    <cellStyle name="Normal 29 15" xfId="1557"/>
    <cellStyle name="Normal 29 16" xfId="1558"/>
    <cellStyle name="Normal 29 2" xfId="1559"/>
    <cellStyle name="Normal 29 3" xfId="1560"/>
    <cellStyle name="Normal 29 4" xfId="1561"/>
    <cellStyle name="Normal 29 5" xfId="1562"/>
    <cellStyle name="Normal 29 6" xfId="1563"/>
    <cellStyle name="Normal 29 7" xfId="1564"/>
    <cellStyle name="Normal 29 8" xfId="1565"/>
    <cellStyle name="Normal 29 9" xfId="1566"/>
    <cellStyle name="Normal 3" xfId="15"/>
    <cellStyle name="Normal 3 10" xfId="1567"/>
    <cellStyle name="Normal 3 11" xfId="1568"/>
    <cellStyle name="Normal 3 12" xfId="1569"/>
    <cellStyle name="Normal 3 13" xfId="1570"/>
    <cellStyle name="Normal 3 14" xfId="1571"/>
    <cellStyle name="Normal 3 15" xfId="1572"/>
    <cellStyle name="Normal 3 16" xfId="1573"/>
    <cellStyle name="Normal 3 16 2" xfId="1574"/>
    <cellStyle name="Normal 3 16 2 2" xfId="1575"/>
    <cellStyle name="Normal 3 16 3" xfId="1576"/>
    <cellStyle name="Normal 3 16 4" xfId="1577"/>
    <cellStyle name="Normal 3 17" xfId="1578"/>
    <cellStyle name="Normal 3 18" xfId="1579"/>
    <cellStyle name="Normal 3 18 2" xfId="1580"/>
    <cellStyle name="Normal 3 19" xfId="1581"/>
    <cellStyle name="Normal 3 19 2" xfId="1582"/>
    <cellStyle name="Normal 3 2" xfId="16"/>
    <cellStyle name="Normal 3 2 10" xfId="1583"/>
    <cellStyle name="Normal 3 2 11" xfId="1584"/>
    <cellStyle name="Normal 3 2 12" xfId="1585"/>
    <cellStyle name="Normal 3 2 13" xfId="1586"/>
    <cellStyle name="Normal 3 2 14" xfId="1587"/>
    <cellStyle name="Normal 3 2 15" xfId="1588"/>
    <cellStyle name="Normal 3 2 16" xfId="1589"/>
    <cellStyle name="Normal 3 2 17" xfId="1590"/>
    <cellStyle name="Normal 3 2 18" xfId="1591"/>
    <cellStyle name="Normal 3 2 19" xfId="1592"/>
    <cellStyle name="Normal 3 2 2" xfId="1593"/>
    <cellStyle name="Normal 3 2 2 2" xfId="1594"/>
    <cellStyle name="Normal 3 2 20" xfId="1595"/>
    <cellStyle name="Normal 3 2 21" xfId="1596"/>
    <cellStyle name="Normal 3 2 22" xfId="1597"/>
    <cellStyle name="Normal 3 2 3" xfId="1598"/>
    <cellStyle name="Normal 3 2 4" xfId="1599"/>
    <cellStyle name="Normal 3 2 5" xfId="1600"/>
    <cellStyle name="Normal 3 2 6" xfId="1601"/>
    <cellStyle name="Normal 3 2 7" xfId="1602"/>
    <cellStyle name="Normal 3 2 8" xfId="1603"/>
    <cellStyle name="Normal 3 2 9" xfId="1604"/>
    <cellStyle name="Normal 3 20" xfId="1605"/>
    <cellStyle name="Normal 3 21" xfId="1606"/>
    <cellStyle name="Normal 3 22" xfId="1607"/>
    <cellStyle name="Normal 3 23" xfId="1608"/>
    <cellStyle name="Normal 3 3" xfId="1609"/>
    <cellStyle name="Normal 3 3 2" xfId="1610"/>
    <cellStyle name="Normal 3 4" xfId="1611"/>
    <cellStyle name="Normal 3 5" xfId="1612"/>
    <cellStyle name="Normal 3 6" xfId="24"/>
    <cellStyle name="Normal 3 7" xfId="1613"/>
    <cellStyle name="Normal 3 8" xfId="1614"/>
    <cellStyle name="Normal 3 9" xfId="1615"/>
    <cellStyle name="Normal 3 9 2" xfId="1616"/>
    <cellStyle name="Normal 30" xfId="2436"/>
    <cellStyle name="Normal 30 10" xfId="1617"/>
    <cellStyle name="Normal 30 11" xfId="1618"/>
    <cellStyle name="Normal 30 12" xfId="1619"/>
    <cellStyle name="Normal 30 13" xfId="1620"/>
    <cellStyle name="Normal 30 14" xfId="1621"/>
    <cellStyle name="Normal 30 15" xfId="1622"/>
    <cellStyle name="Normal 30 16" xfId="1623"/>
    <cellStyle name="Normal 30 2" xfId="1624"/>
    <cellStyle name="Normal 30 3" xfId="1625"/>
    <cellStyle name="Normal 30 4" xfId="1626"/>
    <cellStyle name="Normal 30 5" xfId="1627"/>
    <cellStyle name="Normal 30 6" xfId="1628"/>
    <cellStyle name="Normal 30 7" xfId="1629"/>
    <cellStyle name="Normal 30 8" xfId="1630"/>
    <cellStyle name="Normal 30 9" xfId="1631"/>
    <cellStyle name="Normal 31" xfId="2487"/>
    <cellStyle name="Normal 31 10" xfId="1632"/>
    <cellStyle name="Normal 31 11" xfId="1633"/>
    <cellStyle name="Normal 31 12" xfId="1634"/>
    <cellStyle name="Normal 31 13" xfId="1635"/>
    <cellStyle name="Normal 31 14" xfId="1636"/>
    <cellStyle name="Normal 31 15" xfId="1637"/>
    <cellStyle name="Normal 31 16" xfId="1638"/>
    <cellStyle name="Normal 31 2" xfId="1639"/>
    <cellStyle name="Normal 31 3" xfId="1640"/>
    <cellStyle name="Normal 31 4" xfId="1641"/>
    <cellStyle name="Normal 31 5" xfId="1642"/>
    <cellStyle name="Normal 31 6" xfId="1643"/>
    <cellStyle name="Normal 31 7" xfId="1644"/>
    <cellStyle name="Normal 31 8" xfId="1645"/>
    <cellStyle name="Normal 31 9" xfId="1646"/>
    <cellStyle name="Normal 32 10" xfId="1647"/>
    <cellStyle name="Normal 32 11" xfId="1648"/>
    <cellStyle name="Normal 32 12" xfId="1649"/>
    <cellStyle name="Normal 32 13" xfId="1650"/>
    <cellStyle name="Normal 32 14" xfId="1651"/>
    <cellStyle name="Normal 32 15" xfId="1652"/>
    <cellStyle name="Normal 32 16" xfId="1653"/>
    <cellStyle name="Normal 32 2" xfId="1654"/>
    <cellStyle name="Normal 32 3" xfId="1655"/>
    <cellStyle name="Normal 32 4" xfId="1656"/>
    <cellStyle name="Normal 32 5" xfId="1657"/>
    <cellStyle name="Normal 32 6" xfId="1658"/>
    <cellStyle name="Normal 32 7" xfId="1659"/>
    <cellStyle name="Normal 32 8" xfId="1660"/>
    <cellStyle name="Normal 32 9" xfId="1661"/>
    <cellStyle name="Normal 33 10" xfId="1662"/>
    <cellStyle name="Normal 33 11" xfId="1663"/>
    <cellStyle name="Normal 33 12" xfId="1664"/>
    <cellStyle name="Normal 33 13" xfId="1665"/>
    <cellStyle name="Normal 33 14" xfId="1666"/>
    <cellStyle name="Normal 33 15" xfId="1667"/>
    <cellStyle name="Normal 33 16" xfId="1668"/>
    <cellStyle name="Normal 33 2" xfId="1669"/>
    <cellStyle name="Normal 33 3" xfId="1670"/>
    <cellStyle name="Normal 33 4" xfId="1671"/>
    <cellStyle name="Normal 33 5" xfId="1672"/>
    <cellStyle name="Normal 33 6" xfId="1673"/>
    <cellStyle name="Normal 33 7" xfId="1674"/>
    <cellStyle name="Normal 33 8" xfId="1675"/>
    <cellStyle name="Normal 33 9" xfId="1676"/>
    <cellStyle name="Normal 34 10" xfId="1677"/>
    <cellStyle name="Normal 34 10 2" xfId="1678"/>
    <cellStyle name="Normal 34 10 3" xfId="1679"/>
    <cellStyle name="Normal 34 11" xfId="1680"/>
    <cellStyle name="Normal 34 11 2" xfId="1681"/>
    <cellStyle name="Normal 34 11 3" xfId="1682"/>
    <cellStyle name="Normal 34 12" xfId="1683"/>
    <cellStyle name="Normal 34 12 2" xfId="1684"/>
    <cellStyle name="Normal 34 12 3" xfId="1685"/>
    <cellStyle name="Normal 34 13" xfId="1686"/>
    <cellStyle name="Normal 34 13 2" xfId="1687"/>
    <cellStyle name="Normal 34 13 3" xfId="1688"/>
    <cellStyle name="Normal 34 14" xfId="1689"/>
    <cellStyle name="Normal 34 14 2" xfId="1690"/>
    <cellStyle name="Normal 34 14 3" xfId="1691"/>
    <cellStyle name="Normal 34 15" xfId="1692"/>
    <cellStyle name="Normal 34 15 2" xfId="1693"/>
    <cellStyle name="Normal 34 15 3" xfId="1694"/>
    <cellStyle name="Normal 34 16" xfId="1695"/>
    <cellStyle name="Normal 34 16 2" xfId="1696"/>
    <cellStyle name="Normal 34 16 3" xfId="1697"/>
    <cellStyle name="Normal 34 2" xfId="1698"/>
    <cellStyle name="Normal 34 2 2" xfId="1699"/>
    <cellStyle name="Normal 34 2 3" xfId="1700"/>
    <cellStyle name="Normal 34 3" xfId="1701"/>
    <cellStyle name="Normal 34 3 2" xfId="1702"/>
    <cellStyle name="Normal 34 3 3" xfId="1703"/>
    <cellStyle name="Normal 34 4" xfId="1704"/>
    <cellStyle name="Normal 34 4 2" xfId="1705"/>
    <cellStyle name="Normal 34 4 3" xfId="1706"/>
    <cellStyle name="Normal 34 5" xfId="1707"/>
    <cellStyle name="Normal 34 5 2" xfId="1708"/>
    <cellStyle name="Normal 34 5 3" xfId="1709"/>
    <cellStyle name="Normal 34 6" xfId="1710"/>
    <cellStyle name="Normal 34 6 2" xfId="1711"/>
    <cellStyle name="Normal 34 6 3" xfId="1712"/>
    <cellStyle name="Normal 34 7" xfId="1713"/>
    <cellStyle name="Normal 34 7 2" xfId="1714"/>
    <cellStyle name="Normal 34 7 3" xfId="1715"/>
    <cellStyle name="Normal 34 8" xfId="1716"/>
    <cellStyle name="Normal 34 8 2" xfId="1717"/>
    <cellStyle name="Normal 34 8 3" xfId="1718"/>
    <cellStyle name="Normal 34 9" xfId="1719"/>
    <cellStyle name="Normal 34 9 2" xfId="1720"/>
    <cellStyle name="Normal 34 9 3" xfId="1721"/>
    <cellStyle name="Normal 35" xfId="1722"/>
    <cellStyle name="Normal 35 10" xfId="1723"/>
    <cellStyle name="Normal 35 10 2" xfId="1724"/>
    <cellStyle name="Normal 35 10 3" xfId="1725"/>
    <cellStyle name="Normal 35 11" xfId="1726"/>
    <cellStyle name="Normal 35 11 2" xfId="1727"/>
    <cellStyle name="Normal 35 11 3" xfId="1728"/>
    <cellStyle name="Normal 35 12" xfId="1729"/>
    <cellStyle name="Normal 35 12 2" xfId="1730"/>
    <cellStyle name="Normal 35 12 3" xfId="1731"/>
    <cellStyle name="Normal 35 13" xfId="1732"/>
    <cellStyle name="Normal 35 13 2" xfId="1733"/>
    <cellStyle name="Normal 35 13 3" xfId="1734"/>
    <cellStyle name="Normal 35 14" xfId="1735"/>
    <cellStyle name="Normal 35 14 2" xfId="1736"/>
    <cellStyle name="Normal 35 14 3" xfId="1737"/>
    <cellStyle name="Normal 35 15" xfId="1738"/>
    <cellStyle name="Normal 35 15 2" xfId="1739"/>
    <cellStyle name="Normal 35 15 3" xfId="1740"/>
    <cellStyle name="Normal 35 16" xfId="1741"/>
    <cellStyle name="Normal 35 16 2" xfId="1742"/>
    <cellStyle name="Normal 35 16 3" xfId="1743"/>
    <cellStyle name="Normal 35 17" xfId="1744"/>
    <cellStyle name="Normal 35 18" xfId="1745"/>
    <cellStyle name="Normal 35 19" xfId="1746"/>
    <cellStyle name="Normal 35 2" xfId="1747"/>
    <cellStyle name="Normal 35 2 2" xfId="1748"/>
    <cellStyle name="Normal 35 2 3" xfId="1749"/>
    <cellStyle name="Normal 35 20" xfId="1750"/>
    <cellStyle name="Normal 35 21" xfId="1751"/>
    <cellStyle name="Normal 35 22" xfId="1752"/>
    <cellStyle name="Normal 35 23" xfId="1753"/>
    <cellStyle name="Normal 35 24" xfId="1754"/>
    <cellStyle name="Normal 35 3" xfId="1755"/>
    <cellStyle name="Normal 35 3 2" xfId="1756"/>
    <cellStyle name="Normal 35 3 3" xfId="1757"/>
    <cellStyle name="Normal 35 4" xfId="1758"/>
    <cellStyle name="Normal 35 4 2" xfId="1759"/>
    <cellStyle name="Normal 35 4 3" xfId="1760"/>
    <cellStyle name="Normal 35 5" xfId="1761"/>
    <cellStyle name="Normal 35 5 2" xfId="1762"/>
    <cellStyle name="Normal 35 5 3" xfId="1763"/>
    <cellStyle name="Normal 35 6" xfId="1764"/>
    <cellStyle name="Normal 35 6 2" xfId="1765"/>
    <cellStyle name="Normal 35 6 3" xfId="1766"/>
    <cellStyle name="Normal 35 7" xfId="1767"/>
    <cellStyle name="Normal 35 7 2" xfId="1768"/>
    <cellStyle name="Normal 35 7 3" xfId="1769"/>
    <cellStyle name="Normal 35 8" xfId="1770"/>
    <cellStyle name="Normal 35 8 2" xfId="1771"/>
    <cellStyle name="Normal 35 8 3" xfId="1772"/>
    <cellStyle name="Normal 35 9" xfId="1773"/>
    <cellStyle name="Normal 35 9 2" xfId="1774"/>
    <cellStyle name="Normal 35 9 3" xfId="1775"/>
    <cellStyle name="Normal 36 10" xfId="1776"/>
    <cellStyle name="Normal 36 11" xfId="1777"/>
    <cellStyle name="Normal 36 12" xfId="1778"/>
    <cellStyle name="Normal 36 13" xfId="1779"/>
    <cellStyle name="Normal 36 14" xfId="1780"/>
    <cellStyle name="Normal 36 15" xfId="1781"/>
    <cellStyle name="Normal 36 16" xfId="1782"/>
    <cellStyle name="Normal 36 2" xfId="1783"/>
    <cellStyle name="Normal 36 3" xfId="1784"/>
    <cellStyle name="Normal 36 4" xfId="1785"/>
    <cellStyle name="Normal 36 5" xfId="1786"/>
    <cellStyle name="Normal 36 6" xfId="1787"/>
    <cellStyle name="Normal 36 7" xfId="1788"/>
    <cellStyle name="Normal 36 8" xfId="1789"/>
    <cellStyle name="Normal 36 9" xfId="1790"/>
    <cellStyle name="Normal 37" xfId="1791"/>
    <cellStyle name="Normal 37 2" xfId="1792"/>
    <cellStyle name="Normal 38" xfId="1793"/>
    <cellStyle name="Normal 38 2" xfId="1794"/>
    <cellStyle name="Normal 39" xfId="1795"/>
    <cellStyle name="Normal 39 2" xfId="1796"/>
    <cellStyle name="Normal 39 3" xfId="1797"/>
    <cellStyle name="Normal 4" xfId="17"/>
    <cellStyle name="Normal 4 10" xfId="1798"/>
    <cellStyle name="Normal 4 10 2" xfId="1799"/>
    <cellStyle name="Normal 4 10 3" xfId="1800"/>
    <cellStyle name="Normal 4 11" xfId="1801"/>
    <cellStyle name="Normal 4 11 2" xfId="1802"/>
    <cellStyle name="Normal 4 11 3" xfId="1803"/>
    <cellStyle name="Normal 4 12" xfId="1804"/>
    <cellStyle name="Normal 4 12 2" xfId="1805"/>
    <cellStyle name="Normal 4 12 3" xfId="1806"/>
    <cellStyle name="Normal 4 13" xfId="1807"/>
    <cellStyle name="Normal 4 13 2" xfId="1808"/>
    <cellStyle name="Normal 4 13 3" xfId="1809"/>
    <cellStyle name="Normal 4 14" xfId="1810"/>
    <cellStyle name="Normal 4 14 2" xfId="1811"/>
    <cellStyle name="Normal 4 14 3" xfId="1812"/>
    <cellStyle name="Normal 4 15" xfId="1813"/>
    <cellStyle name="Normal 4 15 2" xfId="1814"/>
    <cellStyle name="Normal 4 15 3" xfId="1815"/>
    <cellStyle name="Normal 4 16" xfId="1816"/>
    <cellStyle name="Normal 4 16 2" xfId="1817"/>
    <cellStyle name="Normal 4 16 3" xfId="1818"/>
    <cellStyle name="Normal 4 17" xfId="1819"/>
    <cellStyle name="Normal 4 17 2" xfId="1820"/>
    <cellStyle name="Normal 4 17 3" xfId="1821"/>
    <cellStyle name="Normal 4 18" xfId="1822"/>
    <cellStyle name="Normal 4 18 2" xfId="1823"/>
    <cellStyle name="Normal 4 18 3" xfId="1824"/>
    <cellStyle name="Normal 4 19" xfId="1825"/>
    <cellStyle name="Normal 4 19 2" xfId="1826"/>
    <cellStyle name="Normal 4 19 3" xfId="1827"/>
    <cellStyle name="Normal 4 2" xfId="18"/>
    <cellStyle name="Normal 4 2 10" xfId="1828"/>
    <cellStyle name="Normal 4 2 11" xfId="1829"/>
    <cellStyle name="Normal 4 2 12" xfId="1830"/>
    <cellStyle name="Normal 4 2 13" xfId="1831"/>
    <cellStyle name="Normal 4 2 14" xfId="1832"/>
    <cellStyle name="Normal 4 2 15" xfId="1833"/>
    <cellStyle name="Normal 4 2 16" xfId="1834"/>
    <cellStyle name="Normal 4 2 17" xfId="1835"/>
    <cellStyle name="Normal 4 2 18" xfId="1836"/>
    <cellStyle name="Normal 4 2 19" xfId="1837"/>
    <cellStyle name="Normal 4 2 2" xfId="1838"/>
    <cellStyle name="Normal 4 2 2 2" xfId="1839"/>
    <cellStyle name="Normal 4 2 2 3" xfId="1840"/>
    <cellStyle name="Normal 4 2 20" xfId="1841"/>
    <cellStyle name="Normal 4 2 21" xfId="2490"/>
    <cellStyle name="Normal 4 2 3" xfId="1842"/>
    <cellStyle name="Normal 4 2 3 2" xfId="1843"/>
    <cellStyle name="Normal 4 2 4" xfId="1844"/>
    <cellStyle name="Normal 4 2 4 2" xfId="1845"/>
    <cellStyle name="Normal 4 2 5" xfId="1846"/>
    <cellStyle name="Normal 4 2 5 2" xfId="1847"/>
    <cellStyle name="Normal 4 2 6" xfId="1848"/>
    <cellStyle name="Normal 4 2 7" xfId="1849"/>
    <cellStyle name="Normal 4 2 8" xfId="1850"/>
    <cellStyle name="Normal 4 2 9" xfId="1851"/>
    <cellStyle name="Normal 4 20" xfId="1852"/>
    <cellStyle name="Normal 4 20 2" xfId="1853"/>
    <cellStyle name="Normal 4 20 3" xfId="1854"/>
    <cellStyle name="Normal 4 21" xfId="1855"/>
    <cellStyle name="Normal 4 21 2" xfId="1856"/>
    <cellStyle name="Normal 4 21 3" xfId="1857"/>
    <cellStyle name="Normal 4 22" xfId="1858"/>
    <cellStyle name="Normal 4 22 2" xfId="1859"/>
    <cellStyle name="Normal 4 22 3" xfId="1860"/>
    <cellStyle name="Normal 4 23" xfId="1861"/>
    <cellStyle name="Normal 4 23 2" xfId="1862"/>
    <cellStyle name="Normal 4 23 3" xfId="1863"/>
    <cellStyle name="Normal 4 24" xfId="1864"/>
    <cellStyle name="Normal 4 24 2" xfId="1865"/>
    <cellStyle name="Normal 4 24 3" xfId="1866"/>
    <cellStyle name="Normal 4 25" xfId="1867"/>
    <cellStyle name="Normal 4 25 2" xfId="1868"/>
    <cellStyle name="Normal 4 25 3" xfId="1869"/>
    <cellStyle name="Normal 4 26" xfId="1870"/>
    <cellStyle name="Normal 4 27" xfId="1871"/>
    <cellStyle name="Normal 4 28" xfId="1872"/>
    <cellStyle name="Normal 4 29" xfId="1873"/>
    <cellStyle name="Normal 4 3" xfId="1874"/>
    <cellStyle name="Normal 4 3 2" xfId="1875"/>
    <cellStyle name="Normal 4 3 2 2" xfId="1876"/>
    <cellStyle name="Normal 4 3 3" xfId="1877"/>
    <cellStyle name="Normal 4 3 3 2" xfId="1878"/>
    <cellStyle name="Normal 4 3 4" xfId="1879"/>
    <cellStyle name="Normal 4 3 5" xfId="1880"/>
    <cellStyle name="Normal 4 3 6" xfId="1881"/>
    <cellStyle name="Normal 4 30" xfId="1882"/>
    <cellStyle name="Normal 4 31" xfId="1883"/>
    <cellStyle name="Normal 4 32" xfId="1884"/>
    <cellStyle name="Normal 4 33" xfId="1885"/>
    <cellStyle name="Normal 4 34" xfId="1886"/>
    <cellStyle name="Normal 4 35" xfId="1887"/>
    <cellStyle name="Normal 4 36" xfId="1888"/>
    <cellStyle name="Normal 4 37" xfId="1889"/>
    <cellStyle name="Normal 4 38" xfId="1890"/>
    <cellStyle name="Normal 4 39" xfId="1891"/>
    <cellStyle name="Normal 4 4" xfId="1892"/>
    <cellStyle name="Normal 4 4 2" xfId="1893"/>
    <cellStyle name="Normal 4 4 3" xfId="1894"/>
    <cellStyle name="Normal 4 40" xfId="1895"/>
    <cellStyle name="Normal 4 41" xfId="1896"/>
    <cellStyle name="Normal 4 41 2" xfId="1897"/>
    <cellStyle name="Normal 4 41 3" xfId="1898"/>
    <cellStyle name="Normal 4 42" xfId="1899"/>
    <cellStyle name="Normal 4 42 2" xfId="1900"/>
    <cellStyle name="Normal 4 42 3" xfId="1901"/>
    <cellStyle name="Normal 4 43" xfId="1902"/>
    <cellStyle name="Normal 4 44" xfId="1903"/>
    <cellStyle name="Normal 4 45" xfId="1904"/>
    <cellStyle name="Normal 4 46" xfId="1905"/>
    <cellStyle name="Normal 4 5" xfId="1906"/>
    <cellStyle name="Normal 4 5 2" xfId="1907"/>
    <cellStyle name="Normal 4 5 3" xfId="1908"/>
    <cellStyle name="Normal 4 6" xfId="1909"/>
    <cellStyle name="Normal 4 6 2" xfId="1910"/>
    <cellStyle name="Normal 4 6 3" xfId="1911"/>
    <cellStyle name="Normal 4 7" xfId="1912"/>
    <cellStyle name="Normal 4 7 2" xfId="1913"/>
    <cellStyle name="Normal 4 7 3" xfId="1914"/>
    <cellStyle name="Normal 4 8" xfId="1915"/>
    <cellStyle name="Normal 4 8 2" xfId="1916"/>
    <cellStyle name="Normal 4 8 3" xfId="1917"/>
    <cellStyle name="Normal 4 9" xfId="1918"/>
    <cellStyle name="Normal 4 9 2" xfId="1919"/>
    <cellStyle name="Normal 4 9 3" xfId="1920"/>
    <cellStyle name="Normal 40" xfId="1921"/>
    <cellStyle name="Normal 40 2" xfId="1922"/>
    <cellStyle name="Normal 40 3" xfId="1923"/>
    <cellStyle name="Normal 41" xfId="1924"/>
    <cellStyle name="Normal 41 2" xfId="1925"/>
    <cellStyle name="Normal 41 3" xfId="1926"/>
    <cellStyle name="Normal 42" xfId="1927"/>
    <cellStyle name="Normal 42 2" xfId="1928"/>
    <cellStyle name="Normal 42 3" xfId="1929"/>
    <cellStyle name="Normal 5" xfId="19"/>
    <cellStyle name="Normal 5 10" xfId="1930"/>
    <cellStyle name="Normal 5 10 2" xfId="1931"/>
    <cellStyle name="Normal 5 10 3" xfId="1932"/>
    <cellStyle name="Normal 5 10 4" xfId="1933"/>
    <cellStyle name="Normal 5 11" xfId="1934"/>
    <cellStyle name="Normal 5 11 2" xfId="1935"/>
    <cellStyle name="Normal 5 11 3" xfId="1936"/>
    <cellStyle name="Normal 5 12" xfId="1937"/>
    <cellStyle name="Normal 5 12 2" xfId="1938"/>
    <cellStyle name="Normal 5 12 3" xfId="1939"/>
    <cellStyle name="Normal 5 13" xfId="1940"/>
    <cellStyle name="Normal 5 13 2" xfId="1941"/>
    <cellStyle name="Normal 5 13 3" xfId="1942"/>
    <cellStyle name="Normal 5 14" xfId="1943"/>
    <cellStyle name="Normal 5 14 2" xfId="1944"/>
    <cellStyle name="Normal 5 14 3" xfId="1945"/>
    <cellStyle name="Normal 5 15" xfId="1946"/>
    <cellStyle name="Normal 5 15 2" xfId="1947"/>
    <cellStyle name="Normal 5 15 3" xfId="1948"/>
    <cellStyle name="Normal 5 16" xfId="1949"/>
    <cellStyle name="Normal 5 16 2" xfId="1950"/>
    <cellStyle name="Normal 5 16 3" xfId="1951"/>
    <cellStyle name="Normal 5 17" xfId="1952"/>
    <cellStyle name="Normal 5 17 2" xfId="1953"/>
    <cellStyle name="Normal 5 17 3" xfId="1954"/>
    <cellStyle name="Normal 5 18" xfId="1955"/>
    <cellStyle name="Normal 5 18 2" xfId="1956"/>
    <cellStyle name="Normal 5 18 3" xfId="1957"/>
    <cellStyle name="Normal 5 19" xfId="1958"/>
    <cellStyle name="Normal 5 19 2" xfId="1959"/>
    <cellStyle name="Normal 5 19 3" xfId="1960"/>
    <cellStyle name="Normal 5 2" xfId="31"/>
    <cellStyle name="Normal 5 2 2" xfId="1961"/>
    <cellStyle name="Normal 5 2 2 2" xfId="1962"/>
    <cellStyle name="Normal 5 2 2 3" xfId="1963"/>
    <cellStyle name="Normal 5 2 3" xfId="1964"/>
    <cellStyle name="Normal 5 2 4" xfId="1965"/>
    <cellStyle name="Normal 5 2 5" xfId="2437"/>
    <cellStyle name="Normal 5 20" xfId="1966"/>
    <cellStyle name="Normal 5 20 2" xfId="1967"/>
    <cellStyle name="Normal 5 20 3" xfId="1968"/>
    <cellStyle name="Normal 5 21" xfId="1969"/>
    <cellStyle name="Normal 5 21 2" xfId="1970"/>
    <cellStyle name="Normal 5 21 3" xfId="1971"/>
    <cellStyle name="Normal 5 22" xfId="1972"/>
    <cellStyle name="Normal 5 23" xfId="1973"/>
    <cellStyle name="Normal 5 24" xfId="1974"/>
    <cellStyle name="Normal 5 25" xfId="1975"/>
    <cellStyle name="Normal 5 25 2" xfId="1976"/>
    <cellStyle name="Normal 5 25 3" xfId="1977"/>
    <cellStyle name="Normal 5 26" xfId="1978"/>
    <cellStyle name="Normal 5 26 2" xfId="1979"/>
    <cellStyle name="Normal 5 26 3" xfId="1980"/>
    <cellStyle name="Normal 5 27" xfId="1981"/>
    <cellStyle name="Normal 5 27 2" xfId="1982"/>
    <cellStyle name="Normal 5 27 3" xfId="1983"/>
    <cellStyle name="Normal 5 28" xfId="1984"/>
    <cellStyle name="Normal 5 28 2" xfId="1985"/>
    <cellStyle name="Normal 5 28 3" xfId="1986"/>
    <cellStyle name="Normal 5 29" xfId="1987"/>
    <cellStyle name="Normal 5 29 2" xfId="1988"/>
    <cellStyle name="Normal 5 29 3" xfId="1989"/>
    <cellStyle name="Normal 5 3" xfId="1990"/>
    <cellStyle name="Normal 5 3 2" xfId="1991"/>
    <cellStyle name="Normal 5 3 3" xfId="1992"/>
    <cellStyle name="Normal 5 30" xfId="1993"/>
    <cellStyle name="Normal 5 30 2" xfId="1994"/>
    <cellStyle name="Normal 5 30 3" xfId="1995"/>
    <cellStyle name="Normal 5 31" xfId="1996"/>
    <cellStyle name="Normal 5 31 2" xfId="1997"/>
    <cellStyle name="Normal 5 31 3" xfId="1998"/>
    <cellStyle name="Normal 5 32" xfId="1999"/>
    <cellStyle name="Normal 5 32 2" xfId="2000"/>
    <cellStyle name="Normal 5 32 3" xfId="2001"/>
    <cellStyle name="Normal 5 33" xfId="2002"/>
    <cellStyle name="Normal 5 34" xfId="2003"/>
    <cellStyle name="Normal 5 35" xfId="2004"/>
    <cellStyle name="Normal 5 36" xfId="2005"/>
    <cellStyle name="Normal 5 37" xfId="2006"/>
    <cellStyle name="Normal 5 38" xfId="2007"/>
    <cellStyle name="Normal 5 39" xfId="2008"/>
    <cellStyle name="Normal 5 39 2" xfId="2009"/>
    <cellStyle name="Normal 5 39 3" xfId="2010"/>
    <cellStyle name="Normal 5 4" xfId="2011"/>
    <cellStyle name="Normal 5 4 2" xfId="2012"/>
    <cellStyle name="Normal 5 4 3" xfId="2013"/>
    <cellStyle name="Normal 5 4 4" xfId="2014"/>
    <cellStyle name="Normal 5 4 5" xfId="2015"/>
    <cellStyle name="Normal 5 40" xfId="2016"/>
    <cellStyle name="Normal 5 40 2" xfId="2017"/>
    <cellStyle name="Normal 5 40 3" xfId="2018"/>
    <cellStyle name="Normal 5 41" xfId="2019"/>
    <cellStyle name="Normal 5 41 2" xfId="2020"/>
    <cellStyle name="Normal 5 41 3" xfId="2021"/>
    <cellStyle name="Normal 5 42" xfId="2022"/>
    <cellStyle name="Normal 5 42 2" xfId="2023"/>
    <cellStyle name="Normal 5 42 3" xfId="2024"/>
    <cellStyle name="Normal 5 43" xfId="2025"/>
    <cellStyle name="Normal 5 43 2" xfId="2026"/>
    <cellStyle name="Normal 5 43 3" xfId="2027"/>
    <cellStyle name="Normal 5 44" xfId="2028"/>
    <cellStyle name="Normal 5 44 2" xfId="2029"/>
    <cellStyle name="Normal 5 44 3" xfId="2030"/>
    <cellStyle name="Normal 5 45" xfId="2031"/>
    <cellStyle name="Normal 5 45 2" xfId="2032"/>
    <cellStyle name="Normal 5 45 3" xfId="2033"/>
    <cellStyle name="Normal 5 46" xfId="2034"/>
    <cellStyle name="Normal 5 46 2" xfId="2035"/>
    <cellStyle name="Normal 5 46 3" xfId="2036"/>
    <cellStyle name="Normal 5 47" xfId="2037"/>
    <cellStyle name="Normal 5 47 2" xfId="2038"/>
    <cellStyle name="Normal 5 47 3" xfId="2039"/>
    <cellStyle name="Normal 5 48" xfId="2040"/>
    <cellStyle name="Normal 5 48 2" xfId="2041"/>
    <cellStyle name="Normal 5 48 3" xfId="2042"/>
    <cellStyle name="Normal 5 49" xfId="2043"/>
    <cellStyle name="Normal 5 49 2" xfId="2044"/>
    <cellStyle name="Normal 5 49 3" xfId="2045"/>
    <cellStyle name="Normal 5 5" xfId="2046"/>
    <cellStyle name="Normal 5 5 2" xfId="2047"/>
    <cellStyle name="Normal 5 5 3" xfId="2048"/>
    <cellStyle name="Normal 5 5 4" xfId="2049"/>
    <cellStyle name="Normal 5 5 5" xfId="2050"/>
    <cellStyle name="Normal 5 50" xfId="2051"/>
    <cellStyle name="Normal 5 50 2" xfId="2052"/>
    <cellStyle name="Normal 5 50 3" xfId="2053"/>
    <cellStyle name="Normal 5 51" xfId="2054"/>
    <cellStyle name="Normal 5 52" xfId="2055"/>
    <cellStyle name="Normal 5 53" xfId="2056"/>
    <cellStyle name="Normal 5 54" xfId="2057"/>
    <cellStyle name="Normal 5 55" xfId="2058"/>
    <cellStyle name="Normal 5 56" xfId="2059"/>
    <cellStyle name="Normal 5 6" xfId="2060"/>
    <cellStyle name="Normal 5 6 2" xfId="2061"/>
    <cellStyle name="Normal 5 6 3" xfId="2062"/>
    <cellStyle name="Normal 5 6 4" xfId="2063"/>
    <cellStyle name="Normal 5 7" xfId="2064"/>
    <cellStyle name="Normal 5 7 2" xfId="2065"/>
    <cellStyle name="Normal 5 7 3" xfId="2066"/>
    <cellStyle name="Normal 5 7 4" xfId="2067"/>
    <cellStyle name="Normal 5 8" xfId="2068"/>
    <cellStyle name="Normal 5 8 2" xfId="2069"/>
    <cellStyle name="Normal 5 8 3" xfId="2070"/>
    <cellStyle name="Normal 5 8 4" xfId="2071"/>
    <cellStyle name="Normal 5 9" xfId="2072"/>
    <cellStyle name="Normal 5 9 2" xfId="2073"/>
    <cellStyle name="Normal 5 9 3" xfId="2074"/>
    <cellStyle name="Normal 5 9 4" xfId="2075"/>
    <cellStyle name="Normal 6" xfId="21"/>
    <cellStyle name="Normal 6 10" xfId="2076"/>
    <cellStyle name="Normal 6 10 2" xfId="2077"/>
    <cellStyle name="Normal 6 10 3" xfId="2078"/>
    <cellStyle name="Normal 6 10 4" xfId="2079"/>
    <cellStyle name="Normal 6 11" xfId="2080"/>
    <cellStyle name="Normal 6 11 2" xfId="2081"/>
    <cellStyle name="Normal 6 11 3" xfId="2082"/>
    <cellStyle name="Normal 6 11 4" xfId="2083"/>
    <cellStyle name="Normal 6 12" xfId="2084"/>
    <cellStyle name="Normal 6 12 2" xfId="2085"/>
    <cellStyle name="Normal 6 12 3" xfId="2086"/>
    <cellStyle name="Normal 6 13" xfId="2087"/>
    <cellStyle name="Normal 6 13 2" xfId="2088"/>
    <cellStyle name="Normal 6 13 3" xfId="2089"/>
    <cellStyle name="Normal 6 14" xfId="2090"/>
    <cellStyle name="Normal 6 14 2" xfId="2091"/>
    <cellStyle name="Normal 6 14 3" xfId="2092"/>
    <cellStyle name="Normal 6 15" xfId="2093"/>
    <cellStyle name="Normal 6 15 2" xfId="2094"/>
    <cellStyle name="Normal 6 15 3" xfId="2095"/>
    <cellStyle name="Normal 6 16" xfId="2096"/>
    <cellStyle name="Normal 6 16 2" xfId="2097"/>
    <cellStyle name="Normal 6 16 3" xfId="2098"/>
    <cellStyle name="Normal 6 17" xfId="2099"/>
    <cellStyle name="Normal 6 17 2" xfId="2100"/>
    <cellStyle name="Normal 6 17 3" xfId="2101"/>
    <cellStyle name="Normal 6 18" xfId="2102"/>
    <cellStyle name="Normal 6 18 2" xfId="2103"/>
    <cellStyle name="Normal 6 18 3" xfId="2104"/>
    <cellStyle name="Normal 6 19" xfId="2105"/>
    <cellStyle name="Normal 6 19 2" xfId="2106"/>
    <cellStyle name="Normal 6 19 3" xfId="2107"/>
    <cellStyle name="Normal 6 2" xfId="2108"/>
    <cellStyle name="Normal 6 2 10" xfId="2109"/>
    <cellStyle name="Normal 6 2 11" xfId="2110"/>
    <cellStyle name="Normal 6 2 12" xfId="2111"/>
    <cellStyle name="Normal 6 2 13" xfId="2112"/>
    <cellStyle name="Normal 6 2 14" xfId="2113"/>
    <cellStyle name="Normal 6 2 15" xfId="2114"/>
    <cellStyle name="Normal 6 2 16" xfId="2115"/>
    <cellStyle name="Normal 6 2 17" xfId="2116"/>
    <cellStyle name="Normal 6 2 2" xfId="2117"/>
    <cellStyle name="Normal 6 2 3" xfId="2118"/>
    <cellStyle name="Normal 6 2 4" xfId="2119"/>
    <cellStyle name="Normal 6 2 5" xfId="2120"/>
    <cellStyle name="Normal 6 2 6" xfId="2121"/>
    <cellStyle name="Normal 6 2 7" xfId="2122"/>
    <cellStyle name="Normal 6 2 8" xfId="2123"/>
    <cellStyle name="Normal 6 2 9" xfId="2124"/>
    <cellStyle name="Normal 6 20" xfId="2125"/>
    <cellStyle name="Normal 6 20 2" xfId="2126"/>
    <cellStyle name="Normal 6 20 3" xfId="2127"/>
    <cellStyle name="Normal 6 21" xfId="2128"/>
    <cellStyle name="Normal 6 21 2" xfId="2129"/>
    <cellStyle name="Normal 6 21 3" xfId="2130"/>
    <cellStyle name="Normal 6 22" xfId="2131"/>
    <cellStyle name="Normal 6 22 2" xfId="2132"/>
    <cellStyle name="Normal 6 22 3" xfId="2133"/>
    <cellStyle name="Normal 6 23" xfId="2134"/>
    <cellStyle name="Normal 6 24" xfId="2135"/>
    <cellStyle name="Normal 6 25" xfId="2136"/>
    <cellStyle name="Normal 6 26" xfId="2137"/>
    <cellStyle name="Normal 6 27" xfId="2138"/>
    <cellStyle name="Normal 6 28" xfId="2139"/>
    <cellStyle name="Normal 6 29" xfId="2140"/>
    <cellStyle name="Normal 6 3" xfId="2141"/>
    <cellStyle name="Normal 6 3 10" xfId="2142"/>
    <cellStyle name="Normal 6 3 11" xfId="2143"/>
    <cellStyle name="Normal 6 3 12" xfId="2144"/>
    <cellStyle name="Normal 6 3 13" xfId="2145"/>
    <cellStyle name="Normal 6 3 14" xfId="2146"/>
    <cellStyle name="Normal 6 3 15" xfId="2147"/>
    <cellStyle name="Normal 6 3 16" xfId="2148"/>
    <cellStyle name="Normal 6 3 17" xfId="2149"/>
    <cellStyle name="Normal 6 3 2" xfId="2150"/>
    <cellStyle name="Normal 6 3 3" xfId="2151"/>
    <cellStyle name="Normal 6 3 4" xfId="2152"/>
    <cellStyle name="Normal 6 3 5" xfId="2153"/>
    <cellStyle name="Normal 6 3 6" xfId="2154"/>
    <cellStyle name="Normal 6 3 7" xfId="2155"/>
    <cellStyle name="Normal 6 3 8" xfId="2156"/>
    <cellStyle name="Normal 6 3 9" xfId="2157"/>
    <cellStyle name="Normal 6 30" xfId="2158"/>
    <cellStyle name="Normal 6 31" xfId="2159"/>
    <cellStyle name="Normal 6 4" xfId="2160"/>
    <cellStyle name="Normal 6 4 10" xfId="2161"/>
    <cellStyle name="Normal 6 4 11" xfId="2162"/>
    <cellStyle name="Normal 6 4 12" xfId="2163"/>
    <cellStyle name="Normal 6 4 13" xfId="2164"/>
    <cellStyle name="Normal 6 4 14" xfId="2165"/>
    <cellStyle name="Normal 6 4 15" xfId="2166"/>
    <cellStyle name="Normal 6 4 16" xfId="2167"/>
    <cellStyle name="Normal 6 4 17" xfId="2168"/>
    <cellStyle name="Normal 6 4 2" xfId="2169"/>
    <cellStyle name="Normal 6 4 3" xfId="2170"/>
    <cellStyle name="Normal 6 4 4" xfId="2171"/>
    <cellStyle name="Normal 6 4 5" xfId="2172"/>
    <cellStyle name="Normal 6 4 6" xfId="2173"/>
    <cellStyle name="Normal 6 4 7" xfId="2174"/>
    <cellStyle name="Normal 6 4 8" xfId="2175"/>
    <cellStyle name="Normal 6 4 9" xfId="2176"/>
    <cellStyle name="Normal 6 5" xfId="2177"/>
    <cellStyle name="Normal 6 5 10" xfId="2178"/>
    <cellStyle name="Normal 6 5 11" xfId="2179"/>
    <cellStyle name="Normal 6 5 12" xfId="2180"/>
    <cellStyle name="Normal 6 5 13" xfId="2181"/>
    <cellStyle name="Normal 6 5 14" xfId="2182"/>
    <cellStyle name="Normal 6 5 15" xfId="2183"/>
    <cellStyle name="Normal 6 5 16" xfId="2184"/>
    <cellStyle name="Normal 6 5 17" xfId="2185"/>
    <cellStyle name="Normal 6 5 2" xfId="2186"/>
    <cellStyle name="Normal 6 5 3" xfId="2187"/>
    <cellStyle name="Normal 6 5 4" xfId="2188"/>
    <cellStyle name="Normal 6 5 5" xfId="2189"/>
    <cellStyle name="Normal 6 5 6" xfId="2190"/>
    <cellStyle name="Normal 6 5 7" xfId="2191"/>
    <cellStyle name="Normal 6 5 8" xfId="2192"/>
    <cellStyle name="Normal 6 5 9" xfId="2193"/>
    <cellStyle name="Normal 6 6" xfId="2194"/>
    <cellStyle name="Normal 6 6 10" xfId="2195"/>
    <cellStyle name="Normal 6 6 11" xfId="2196"/>
    <cellStyle name="Normal 6 6 12" xfId="2197"/>
    <cellStyle name="Normal 6 6 13" xfId="2198"/>
    <cellStyle name="Normal 6 6 14" xfId="2199"/>
    <cellStyle name="Normal 6 6 15" xfId="2200"/>
    <cellStyle name="Normal 6 6 16" xfId="2201"/>
    <cellStyle name="Normal 6 6 17" xfId="2202"/>
    <cellStyle name="Normal 6 6 2" xfId="2203"/>
    <cellStyle name="Normal 6 6 3" xfId="2204"/>
    <cellStyle name="Normal 6 6 4" xfId="2205"/>
    <cellStyle name="Normal 6 6 5" xfId="2206"/>
    <cellStyle name="Normal 6 6 6" xfId="2207"/>
    <cellStyle name="Normal 6 6 7" xfId="2208"/>
    <cellStyle name="Normal 6 6 8" xfId="2209"/>
    <cellStyle name="Normal 6 6 9" xfId="2210"/>
    <cellStyle name="Normal 6 7" xfId="2211"/>
    <cellStyle name="Normal 6 7 10" xfId="2212"/>
    <cellStyle name="Normal 6 7 11" xfId="2213"/>
    <cellStyle name="Normal 6 7 12" xfId="2214"/>
    <cellStyle name="Normal 6 7 13" xfId="2215"/>
    <cellStyle name="Normal 6 7 14" xfId="2216"/>
    <cellStyle name="Normal 6 7 15" xfId="2217"/>
    <cellStyle name="Normal 6 7 16" xfId="2218"/>
    <cellStyle name="Normal 6 7 17" xfId="2219"/>
    <cellStyle name="Normal 6 7 2" xfId="2220"/>
    <cellStyle name="Normal 6 7 3" xfId="2221"/>
    <cellStyle name="Normal 6 7 4" xfId="2222"/>
    <cellStyle name="Normal 6 7 5" xfId="2223"/>
    <cellStyle name="Normal 6 7 6" xfId="2224"/>
    <cellStyle name="Normal 6 7 7" xfId="2225"/>
    <cellStyle name="Normal 6 7 8" xfId="2226"/>
    <cellStyle name="Normal 6 7 9" xfId="2227"/>
    <cellStyle name="Normal 6 8" xfId="2228"/>
    <cellStyle name="Normal 6 8 2" xfId="2229"/>
    <cellStyle name="Normal 6 8 3" xfId="2230"/>
    <cellStyle name="Normal 6 8 4" xfId="2231"/>
    <cellStyle name="Normal 6 9" xfId="2232"/>
    <cellStyle name="Normal 6 9 2" xfId="2233"/>
    <cellStyle name="Normal 6 9 3" xfId="2234"/>
    <cellStyle name="Normal 6 9 4" xfId="2235"/>
    <cellStyle name="Normal 7" xfId="32"/>
    <cellStyle name="Normal 7 10" xfId="2236"/>
    <cellStyle name="Normal 7 10 2" xfId="2237"/>
    <cellStyle name="Normal 7 10 3" xfId="2238"/>
    <cellStyle name="Normal 7 11" xfId="2239"/>
    <cellStyle name="Normal 7 11 2" xfId="2240"/>
    <cellStyle name="Normal 7 11 3" xfId="2241"/>
    <cellStyle name="Normal 7 12" xfId="2242"/>
    <cellStyle name="Normal 7 12 2" xfId="2243"/>
    <cellStyle name="Normal 7 12 3" xfId="2244"/>
    <cellStyle name="Normal 7 13" xfId="2245"/>
    <cellStyle name="Normal 7 13 2" xfId="2246"/>
    <cellStyle name="Normal 7 13 3" xfId="2247"/>
    <cellStyle name="Normal 7 14" xfId="2248"/>
    <cellStyle name="Normal 7 14 2" xfId="2249"/>
    <cellStyle name="Normal 7 14 3" xfId="2250"/>
    <cellStyle name="Normal 7 15" xfId="2251"/>
    <cellStyle name="Normal 7 15 2" xfId="2252"/>
    <cellStyle name="Normal 7 15 3" xfId="2253"/>
    <cellStyle name="Normal 7 16" xfId="2254"/>
    <cellStyle name="Normal 7 16 2" xfId="2255"/>
    <cellStyle name="Normal 7 16 3" xfId="2256"/>
    <cellStyle name="Normal 7 17" xfId="2257"/>
    <cellStyle name="Normal 7 18" xfId="2258"/>
    <cellStyle name="Normal 7 19" xfId="2259"/>
    <cellStyle name="Normal 7 2" xfId="2260"/>
    <cellStyle name="Normal 7 2 2" xfId="2261"/>
    <cellStyle name="Normal 7 2 3" xfId="2262"/>
    <cellStyle name="Normal 7 20" xfId="2263"/>
    <cellStyle name="Normal 7 21" xfId="2264"/>
    <cellStyle name="Normal 7 22" xfId="2265"/>
    <cellStyle name="Normal 7 23" xfId="2266"/>
    <cellStyle name="Normal 7 24" xfId="2267"/>
    <cellStyle name="Normal 7 3" xfId="2268"/>
    <cellStyle name="Normal 7 3 2" xfId="2269"/>
    <cellStyle name="Normal 7 3 3" xfId="2270"/>
    <cellStyle name="Normal 7 4" xfId="2271"/>
    <cellStyle name="Normal 7 4 2" xfId="2272"/>
    <cellStyle name="Normal 7 4 3" xfId="2273"/>
    <cellStyle name="Normal 7 5" xfId="2274"/>
    <cellStyle name="Normal 7 5 2" xfId="2275"/>
    <cellStyle name="Normal 7 5 3" xfId="2276"/>
    <cellStyle name="Normal 7 6" xfId="2277"/>
    <cellStyle name="Normal 7 6 2" xfId="2278"/>
    <cellStyle name="Normal 7 6 3" xfId="2279"/>
    <cellStyle name="Normal 7 7" xfId="2280"/>
    <cellStyle name="Normal 7 7 2" xfId="2281"/>
    <cellStyle name="Normal 7 7 3" xfId="2282"/>
    <cellStyle name="Normal 7 8" xfId="2283"/>
    <cellStyle name="Normal 7 8 2" xfId="2284"/>
    <cellStyle name="Normal 7 8 3" xfId="2285"/>
    <cellStyle name="Normal 7 9" xfId="2286"/>
    <cellStyle name="Normal 7 9 2" xfId="2287"/>
    <cellStyle name="Normal 7 9 3" xfId="2288"/>
    <cellStyle name="Normal 8" xfId="33"/>
    <cellStyle name="Normal 8 2" xfId="36"/>
    <cellStyle name="Normal 8 2 2" xfId="2488"/>
    <cellStyle name="Normal 8 3" xfId="2289"/>
    <cellStyle name="Normal 8 4" xfId="2290"/>
    <cellStyle name="Normal 8 5" xfId="2291"/>
    <cellStyle name="Normal 9" xfId="2292"/>
    <cellStyle name="Normal 9 10" xfId="2293"/>
    <cellStyle name="Normal 9 10 2" xfId="2294"/>
    <cellStyle name="Normal 9 10 3" xfId="2295"/>
    <cellStyle name="Normal 9 11" xfId="2296"/>
    <cellStyle name="Normal 9 11 2" xfId="2297"/>
    <cellStyle name="Normal 9 11 3" xfId="2298"/>
    <cellStyle name="Normal 9 12" xfId="2299"/>
    <cellStyle name="Normal 9 12 2" xfId="2300"/>
    <cellStyle name="Normal 9 12 3" xfId="2301"/>
    <cellStyle name="Normal 9 13" xfId="2302"/>
    <cellStyle name="Normal 9 13 2" xfId="2303"/>
    <cellStyle name="Normal 9 13 3" xfId="2304"/>
    <cellStyle name="Normal 9 14" xfId="2305"/>
    <cellStyle name="Normal 9 14 2" xfId="2306"/>
    <cellStyle name="Normal 9 14 3" xfId="2307"/>
    <cellStyle name="Normal 9 15" xfId="2308"/>
    <cellStyle name="Normal 9 15 2" xfId="2309"/>
    <cellStyle name="Normal 9 15 3" xfId="2310"/>
    <cellStyle name="Normal 9 16" xfId="2311"/>
    <cellStyle name="Normal 9 16 2" xfId="2312"/>
    <cellStyle name="Normal 9 16 3" xfId="2313"/>
    <cellStyle name="Normal 9 17" xfId="2314"/>
    <cellStyle name="Normal 9 18" xfId="2315"/>
    <cellStyle name="Normal 9 19" xfId="2316"/>
    <cellStyle name="Normal 9 2" xfId="2317"/>
    <cellStyle name="Normal 9 2 2" xfId="2318"/>
    <cellStyle name="Normal 9 2 3" xfId="2319"/>
    <cellStyle name="Normal 9 3" xfId="2320"/>
    <cellStyle name="Normal 9 3 2" xfId="2321"/>
    <cellStyle name="Normal 9 3 3" xfId="2322"/>
    <cellStyle name="Normal 9 4" xfId="2323"/>
    <cellStyle name="Normal 9 4 2" xfId="2324"/>
    <cellStyle name="Normal 9 4 3" xfId="2325"/>
    <cellStyle name="Normal 9 5" xfId="2326"/>
    <cellStyle name="Normal 9 5 2" xfId="2327"/>
    <cellStyle name="Normal 9 5 3" xfId="2328"/>
    <cellStyle name="Normal 9 6" xfId="2329"/>
    <cellStyle name="Normal 9 6 2" xfId="2330"/>
    <cellStyle name="Normal 9 6 3" xfId="2331"/>
    <cellStyle name="Normal 9 7" xfId="2332"/>
    <cellStyle name="Normal 9 7 2" xfId="2333"/>
    <cellStyle name="Normal 9 7 3" xfId="2334"/>
    <cellStyle name="Normal 9 8" xfId="2335"/>
    <cellStyle name="Normal 9 8 2" xfId="2336"/>
    <cellStyle name="Normal 9 8 3" xfId="2337"/>
    <cellStyle name="Normal 9 9" xfId="2338"/>
    <cellStyle name="Normal 9 9 2" xfId="2339"/>
    <cellStyle name="Normal 9 9 3" xfId="2340"/>
    <cellStyle name="Note 2" xfId="2341"/>
    <cellStyle name="Note 2 10" xfId="2342"/>
    <cellStyle name="Note 2 10 2" xfId="2452"/>
    <cellStyle name="Note 2 11" xfId="2343"/>
    <cellStyle name="Note 2 11 2" xfId="2453"/>
    <cellStyle name="Note 2 12" xfId="2344"/>
    <cellStyle name="Note 2 12 2" xfId="2454"/>
    <cellStyle name="Note 2 13" xfId="2345"/>
    <cellStyle name="Note 2 13 2" xfId="2455"/>
    <cellStyle name="Note 2 14" xfId="2346"/>
    <cellStyle name="Note 2 14 2" xfId="2456"/>
    <cellStyle name="Note 2 15" xfId="2347"/>
    <cellStyle name="Note 2 15 2" xfId="2457"/>
    <cellStyle name="Note 2 16" xfId="2348"/>
    <cellStyle name="Note 2 16 2" xfId="2458"/>
    <cellStyle name="Note 2 17" xfId="2349"/>
    <cellStyle name="Note 2 17 2" xfId="2459"/>
    <cellStyle name="Note 2 18" xfId="2350"/>
    <cellStyle name="Note 2 18 2" xfId="2460"/>
    <cellStyle name="Note 2 19" xfId="2351"/>
    <cellStyle name="Note 2 19 2" xfId="2461"/>
    <cellStyle name="Note 2 2" xfId="2352"/>
    <cellStyle name="Note 2 2 2" xfId="2462"/>
    <cellStyle name="Note 2 20" xfId="2353"/>
    <cellStyle name="Note 2 20 2" xfId="2463"/>
    <cellStyle name="Note 2 21" xfId="2464"/>
    <cellStyle name="Note 2 3" xfId="2354"/>
    <cellStyle name="Note 2 3 2" xfId="2465"/>
    <cellStyle name="Note 2 4" xfId="2355"/>
    <cellStyle name="Note 2 4 2" xfId="2466"/>
    <cellStyle name="Note 2 5" xfId="2356"/>
    <cellStyle name="Note 2 5 2" xfId="2467"/>
    <cellStyle name="Note 2 6" xfId="2357"/>
    <cellStyle name="Note 2 6 2" xfId="2468"/>
    <cellStyle name="Note 2 7" xfId="2358"/>
    <cellStyle name="Note 2 7 2" xfId="2469"/>
    <cellStyle name="Note 2 8" xfId="2359"/>
    <cellStyle name="Note 2 8 2" xfId="2470"/>
    <cellStyle name="Note 2 9" xfId="2360"/>
    <cellStyle name="Note 2 9 2" xfId="2471"/>
    <cellStyle name="Note 3" xfId="2361"/>
    <cellStyle name="Note 3 2" xfId="2362"/>
    <cellStyle name="Note 3 3" xfId="2472"/>
    <cellStyle name="Note 4" xfId="2363"/>
    <cellStyle name="Output 2" xfId="2364"/>
    <cellStyle name="Output 2 2" xfId="2365"/>
    <cellStyle name="Output 2 2 2" xfId="2473"/>
    <cellStyle name="Output 2 3" xfId="2366"/>
    <cellStyle name="Output 2 3 2" xfId="2474"/>
    <cellStyle name="Output 2 4" xfId="2367"/>
    <cellStyle name="Output 2 4 2" xfId="2475"/>
    <cellStyle name="Output 2 5" xfId="2368"/>
    <cellStyle name="Output 2 5 2" xfId="2476"/>
    <cellStyle name="Output 2 6" xfId="2369"/>
    <cellStyle name="Output 2 6 2" xfId="2477"/>
    <cellStyle name="Output 2 7" xfId="2370"/>
    <cellStyle name="Output 2 7 2" xfId="2478"/>
    <cellStyle name="Output 2 8" xfId="2479"/>
    <cellStyle name="Percent 2" xfId="20"/>
    <cellStyle name="Percent 2 10" xfId="2371"/>
    <cellStyle name="Percent 2 11" xfId="2372"/>
    <cellStyle name="Percent 2 12" xfId="2373"/>
    <cellStyle name="Percent 2 13" xfId="2374"/>
    <cellStyle name="Percent 2 14" xfId="2375"/>
    <cellStyle name="Percent 2 15" xfId="2376"/>
    <cellStyle name="Percent 2 16" xfId="2377"/>
    <cellStyle name="Percent 2 17" xfId="2378"/>
    <cellStyle name="Percent 2 18" xfId="2379"/>
    <cellStyle name="Percent 2 19" xfId="2380"/>
    <cellStyle name="Percent 2 2" xfId="2381"/>
    <cellStyle name="Percent 2 20" xfId="2382"/>
    <cellStyle name="Percent 2 21" xfId="2383"/>
    <cellStyle name="Percent 2 22" xfId="2384"/>
    <cellStyle name="Percent 2 23" xfId="2385"/>
    <cellStyle name="Percent 2 3" xfId="2386"/>
    <cellStyle name="Percent 2 4" xfId="2387"/>
    <cellStyle name="Percent 2 5" xfId="2388"/>
    <cellStyle name="Percent 2 6" xfId="2389"/>
    <cellStyle name="Percent 2 7" xfId="2390"/>
    <cellStyle name="Percent 2 8" xfId="2391"/>
    <cellStyle name="Percent 2 9" xfId="2392"/>
    <cellStyle name="Percent 3" xfId="2393"/>
    <cellStyle name="Percent 3 2" xfId="2394"/>
    <cellStyle name="Percent 4" xfId="2395"/>
    <cellStyle name="Percent 5" xfId="2396"/>
    <cellStyle name="Percent 5 2" xfId="2397"/>
    <cellStyle name="Percent 6" xfId="2398"/>
    <cellStyle name="Publication_style" xfId="2399"/>
    <cellStyle name="Refdb standard" xfId="2400"/>
    <cellStyle name="Refdb standard 2" xfId="2401"/>
    <cellStyle name="Row_CategoryHeadings" xfId="2402"/>
    <cellStyle name="Source" xfId="2403"/>
    <cellStyle name="Source 2" xfId="2404"/>
    <cellStyle name="Table Cells" xfId="2405"/>
    <cellStyle name="Table Cells 2" xfId="2406"/>
    <cellStyle name="Table Cells 2 2" xfId="2489"/>
    <cellStyle name="Table Column Headings" xfId="2407"/>
    <cellStyle name="Table Number" xfId="2408"/>
    <cellStyle name="Table Row Headings" xfId="2409"/>
    <cellStyle name="Table Title" xfId="2410"/>
    <cellStyle name="Table_Name" xfId="2411"/>
    <cellStyle name="þ_x001d_ð'&amp;Oý—&amp;Hý_x000b__x0008_—_x000f_h_x0010__x0007__x0001__x0001_" xfId="2412"/>
    <cellStyle name="Title 2" xfId="2413"/>
    <cellStyle name="Total 2" xfId="2414"/>
    <cellStyle name="Total 2 2" xfId="2415"/>
    <cellStyle name="Total 2 2 2" xfId="2480"/>
    <cellStyle name="Total 2 3" xfId="2416"/>
    <cellStyle name="Total 2 3 2" xfId="2481"/>
    <cellStyle name="Total 2 4" xfId="2417"/>
    <cellStyle name="Total 2 4 2" xfId="2482"/>
    <cellStyle name="Total 2 5" xfId="2418"/>
    <cellStyle name="Total 2 5 2" xfId="2483"/>
    <cellStyle name="Total 2 6" xfId="2419"/>
    <cellStyle name="Total 2 6 2" xfId="2484"/>
    <cellStyle name="Total 2 7" xfId="2420"/>
    <cellStyle name="Total 2 7 2" xfId="2485"/>
    <cellStyle name="Total 2 8" xfId="2486"/>
    <cellStyle name="ts97" xfId="2421"/>
    <cellStyle name="u" xfId="2422"/>
    <cellStyle name="Undefined" xfId="2423"/>
    <cellStyle name="Warning Text 2" xfId="2424"/>
    <cellStyle name="Warnings" xfId="2425"/>
    <cellStyle name="Warnings 2" xfId="2426"/>
    <cellStyle name="Warnings 3" xfId="2427"/>
    <cellStyle name="Warnings 3 2" xfId="2428"/>
    <cellStyle name="Warnings 4" xfId="2429"/>
  </cellStyles>
  <dxfs count="0"/>
  <tableStyles count="0" defaultTableStyle="TableStyleMedium9" defaultPivotStyle="PivotStyleLight16"/>
  <colors>
    <mruColors>
      <color rgb="FFFF0000"/>
      <color rgb="FF000000"/>
      <color rgb="FF3B8DCC"/>
      <color rgb="FF3B8DFF"/>
      <color rgb="FF404040"/>
      <color rgb="FFF9FBFD"/>
      <color rgb="FFECF4FA"/>
      <color rgb="FFDDECF7"/>
      <color rgb="FFC7DFF1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62252106350486E-2"/>
          <c:y val="0.18906870033937864"/>
          <c:w val="0.92912156862745099"/>
          <c:h val="0.711675639085265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'ALL CONTROLS'!$G$7</c:f>
              <c:strCache>
                <c:ptCount val="1"/>
                <c:pt idx="0">
                  <c:v>Monmouthshire</c:v>
                </c:pt>
              </c:strCache>
            </c:strRef>
          </c:tx>
          <c:spPr>
            <a:solidFill>
              <a:srgbClr val="6BAEE7"/>
            </a:solidFill>
            <a:ln>
              <a:noFill/>
            </a:ln>
          </c:spPr>
          <c:invertIfNegative val="0"/>
          <c:val>
            <c:numRef>
              <c:f>'ALL CONTROLS'!$D$63:$D$81</c:f>
              <c:numCache>
                <c:formatCode>0.0</c:formatCode>
                <c:ptCount val="19"/>
                <c:pt idx="0">
                  <c:v>-2.4254941822743197</c:v>
                </c:pt>
                <c:pt idx="1">
                  <c:v>-2.6774514468618884</c:v>
                </c:pt>
                <c:pt idx="2">
                  <c:v>-2.8753406289199361</c:v>
                </c:pt>
                <c:pt idx="3">
                  <c:v>-3.0559280245685367</c:v>
                </c:pt>
                <c:pt idx="4">
                  <c:v>-2.6212206410311865</c:v>
                </c:pt>
                <c:pt idx="5">
                  <c:v>-2.459016393442623</c:v>
                </c:pt>
                <c:pt idx="6">
                  <c:v>-2.1324451749643152</c:v>
                </c:pt>
                <c:pt idx="7">
                  <c:v>-2.2427440633245381</c:v>
                </c:pt>
                <c:pt idx="8">
                  <c:v>-2.908862840088239</c:v>
                </c:pt>
                <c:pt idx="9">
                  <c:v>-3.914529175137333</c:v>
                </c:pt>
                <c:pt idx="10">
                  <c:v>-4.101604740689476</c:v>
                </c:pt>
                <c:pt idx="11">
                  <c:v>-3.4517063886846318</c:v>
                </c:pt>
                <c:pt idx="12">
                  <c:v>-3.3803365197456636</c:v>
                </c:pt>
                <c:pt idx="13">
                  <c:v>-3.594446126562568</c:v>
                </c:pt>
                <c:pt idx="14">
                  <c:v>-2.7617976556079413</c:v>
                </c:pt>
                <c:pt idx="15">
                  <c:v>-1.984298628833427</c:v>
                </c:pt>
                <c:pt idx="16">
                  <c:v>-1.5463471603443055</c:v>
                </c:pt>
                <c:pt idx="17">
                  <c:v>-0.72559366754617416</c:v>
                </c:pt>
                <c:pt idx="18">
                  <c:v>-0.33954755828539296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C-4EAA-BBEF-BA38476E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8229504"/>
        <c:axId val="78231040"/>
      </c:barChart>
      <c:scatterChart>
        <c:scatterStyle val="smoothMarker"/>
        <c:varyColors val="0"/>
        <c:ser>
          <c:idx val="1"/>
          <c:order val="1"/>
          <c:tx>
            <c:strRef>
              <c:f>'ALL CONTROLS'!$G$8</c:f>
              <c:strCache>
                <c:ptCount val="1"/>
                <c:pt idx="0">
                  <c:v>Wales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'ALL CONTROLS'!$F$63:$F$81</c:f>
              <c:numCache>
                <c:formatCode>0.0</c:formatCode>
                <c:ptCount val="19"/>
                <c:pt idx="0">
                  <c:v>-2.9065989133570351</c:v>
                </c:pt>
                <c:pt idx="1">
                  <c:v>-2.9736509409548493</c:v>
                </c:pt>
                <c:pt idx="2">
                  <c:v>-2.7348385943468494</c:v>
                </c:pt>
                <c:pt idx="3">
                  <c:v>-3.0927505722655004</c:v>
                </c:pt>
                <c:pt idx="4">
                  <c:v>-3.569084562351609</c:v>
                </c:pt>
                <c:pt idx="5">
                  <c:v>-3.204751336361753</c:v>
                </c:pt>
                <c:pt idx="6">
                  <c:v>-2.9270565579658006</c:v>
                </c:pt>
                <c:pt idx="7">
                  <c:v>-2.7326443990260354</c:v>
                </c:pt>
                <c:pt idx="8">
                  <c:v>-3.0032403102075902</c:v>
                </c:pt>
                <c:pt idx="9">
                  <c:v>-3.3767052608414221</c:v>
                </c:pt>
                <c:pt idx="10">
                  <c:v>-3.4730885170659995</c:v>
                </c:pt>
                <c:pt idx="11">
                  <c:v>-3.1103041348320115</c:v>
                </c:pt>
                <c:pt idx="12">
                  <c:v>-2.9126652180675205</c:v>
                </c:pt>
                <c:pt idx="13">
                  <c:v>-3.0900078281144827</c:v>
                </c:pt>
                <c:pt idx="14">
                  <c:v>-2.3356886514281956</c:v>
                </c:pt>
                <c:pt idx="15">
                  <c:v>-1.7302198131965361</c:v>
                </c:pt>
                <c:pt idx="16">
                  <c:v>-1.1699578520892935</c:v>
                </c:pt>
                <c:pt idx="17">
                  <c:v>-0.61556859022305288</c:v>
                </c:pt>
                <c:pt idx="18">
                  <c:v>-0.26733688577858117</c:v>
                </c:pt>
              </c:numCache>
            </c:numRef>
          </c:xVal>
          <c:yVal>
            <c:numRef>
              <c:f>'ALL CONTROLS'!$H$63:$H$81</c:f>
              <c:numCache>
                <c:formatCode>0</c:formatCode>
                <c:ptCount val="1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3C-4EAA-BBEF-BA38476E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35520"/>
        <c:axId val="78232960"/>
      </c:scatterChart>
      <c:catAx>
        <c:axId val="78229504"/>
        <c:scaling>
          <c:orientation val="minMax"/>
        </c:scaling>
        <c:delete val="1"/>
        <c:axPos val="l"/>
        <c:majorTickMark val="out"/>
        <c:minorTickMark val="none"/>
        <c:tickLblPos val="none"/>
        <c:crossAx val="78231040"/>
        <c:crosses val="autoZero"/>
        <c:auto val="1"/>
        <c:lblAlgn val="ctr"/>
        <c:lblOffset val="500"/>
        <c:noMultiLvlLbl val="0"/>
      </c:catAx>
      <c:valAx>
        <c:axId val="78231040"/>
        <c:scaling>
          <c:orientation val="minMax"/>
          <c:max val="0"/>
          <c:min val="-8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##0;[Black]###0" sourceLinked="0"/>
        <c:majorTickMark val="none"/>
        <c:minorTickMark val="none"/>
        <c:tickLblPos val="nextTo"/>
        <c:crossAx val="78229504"/>
        <c:crosses val="autoZero"/>
        <c:crossBetween val="between"/>
      </c:valAx>
      <c:valAx>
        <c:axId val="78232960"/>
        <c:scaling>
          <c:orientation val="maxMin"/>
          <c:max val="19.5"/>
          <c:min val="0.5"/>
        </c:scaling>
        <c:delete val="1"/>
        <c:axPos val="r"/>
        <c:numFmt formatCode="0" sourceLinked="1"/>
        <c:majorTickMark val="out"/>
        <c:minorTickMark val="none"/>
        <c:tickLblPos val="none"/>
        <c:crossAx val="78235520"/>
        <c:crosses val="max"/>
        <c:crossBetween val="midCat"/>
      </c:valAx>
      <c:valAx>
        <c:axId val="7823552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one"/>
        <c:crossAx val="78232960"/>
        <c:crosses val="max"/>
        <c:crossBetween val="midCat"/>
      </c:valAx>
    </c:plotArea>
    <c:legend>
      <c:legendPos val="l"/>
      <c:layout>
        <c:manualLayout>
          <c:xMode val="edge"/>
          <c:yMode val="edge"/>
          <c:x val="8.0758468272577079E-3"/>
          <c:y val="5.5723927875245639E-2"/>
          <c:w val="0.90712776148654051"/>
          <c:h val="5.7446393762183239E-2"/>
        </c:manualLayout>
      </c:layout>
      <c:overlay val="0"/>
      <c:txPr>
        <a:bodyPr/>
        <a:lstStyle/>
        <a:p>
          <a:pPr>
            <a:defRPr sz="900">
              <a:latin typeface="Verdana" pitchFamily="34" charset="0"/>
              <a:ea typeface="Verdana" pitchFamily="34" charset="0"/>
              <a:cs typeface="Verdana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81954262840309"/>
          <c:y val="0.19167727426295667"/>
          <c:w val="0.81804303746266183"/>
          <c:h val="0.711675639085265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'ALL CONTROLS'!$G$7</c:f>
              <c:strCache>
                <c:ptCount val="1"/>
                <c:pt idx="0">
                  <c:v>Monmouthshire</c:v>
                </c:pt>
              </c:strCache>
            </c:strRef>
          </c:tx>
          <c:spPr>
            <a:solidFill>
              <a:srgbClr val="6BAEE7"/>
            </a:solidFill>
            <a:ln>
              <a:noFill/>
            </a:ln>
          </c:spPr>
          <c:invertIfNegative val="0"/>
          <c:cat>
            <c:strRef>
              <c:f>'ALL CONTROLS'!$B$63:$B$81</c:f>
              <c:strCache>
                <c:ptCount val="19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'ALL CONTROLS'!$E$63:$E$81</c:f>
              <c:numCache>
                <c:formatCode>0.0</c:formatCode>
                <c:ptCount val="19"/>
                <c:pt idx="0">
                  <c:v>2.2827544443963839</c:v>
                </c:pt>
                <c:pt idx="1">
                  <c:v>2.6460919589947665</c:v>
                </c:pt>
                <c:pt idx="2">
                  <c:v>2.645010597344176</c:v>
                </c:pt>
                <c:pt idx="3">
                  <c:v>2.8526320342575371</c:v>
                </c:pt>
                <c:pt idx="4">
                  <c:v>2.1670487477832086</c:v>
                </c:pt>
                <c:pt idx="5">
                  <c:v>2.1767810026385224</c:v>
                </c:pt>
                <c:pt idx="6">
                  <c:v>2.199489597300921</c:v>
                </c:pt>
                <c:pt idx="7">
                  <c:v>2.513084475972144</c:v>
                </c:pt>
                <c:pt idx="8">
                  <c:v>3.2343526969159564</c:v>
                </c:pt>
                <c:pt idx="9">
                  <c:v>4.0107703620398807</c:v>
                </c:pt>
                <c:pt idx="10">
                  <c:v>4.2400190319650504</c:v>
                </c:pt>
                <c:pt idx="11">
                  <c:v>3.570656170249578</c:v>
                </c:pt>
                <c:pt idx="12">
                  <c:v>3.5641680003460361</c:v>
                </c:pt>
                <c:pt idx="13">
                  <c:v>3.7317790561875515</c:v>
                </c:pt>
                <c:pt idx="14">
                  <c:v>2.9423850512565424</c:v>
                </c:pt>
                <c:pt idx="15">
                  <c:v>2.249232233228081</c:v>
                </c:pt>
                <c:pt idx="16">
                  <c:v>1.7366668108482202</c:v>
                </c:pt>
                <c:pt idx="17">
                  <c:v>1.1819282840953329</c:v>
                </c:pt>
                <c:pt idx="18">
                  <c:v>0.85643842726761532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A-4054-AE48-39CAA92D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23578624"/>
        <c:axId val="67387392"/>
      </c:barChart>
      <c:scatterChart>
        <c:scatterStyle val="smoothMarker"/>
        <c:varyColors val="0"/>
        <c:ser>
          <c:idx val="1"/>
          <c:order val="1"/>
          <c:tx>
            <c:strRef>
              <c:f>'ALL CONTROLS'!$G$8</c:f>
              <c:strCache>
                <c:ptCount val="1"/>
                <c:pt idx="0">
                  <c:v>Wales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'ALL CONTROLS'!$G$63:$G$81</c:f>
              <c:numCache>
                <c:formatCode>0.0</c:formatCode>
                <c:ptCount val="19"/>
                <c:pt idx="0">
                  <c:v>2.7699779870581196</c:v>
                </c:pt>
                <c:pt idx="1">
                  <c:v>2.8281564306379363</c:v>
                </c:pt>
                <c:pt idx="2">
                  <c:v>2.587795240274068</c:v>
                </c:pt>
                <c:pt idx="3">
                  <c:v>2.9087285735213544</c:v>
                </c:pt>
                <c:pt idx="4">
                  <c:v>3.3430824443077731</c:v>
                </c:pt>
                <c:pt idx="5">
                  <c:v>3.0892011386583014</c:v>
                </c:pt>
                <c:pt idx="6">
                  <c:v>2.9445133177975698</c:v>
                </c:pt>
                <c:pt idx="7">
                  <c:v>2.7746245183257257</c:v>
                </c:pt>
                <c:pt idx="8">
                  <c:v>3.1237919825393679</c:v>
                </c:pt>
                <c:pt idx="9">
                  <c:v>3.5317509743195252</c:v>
                </c:pt>
                <c:pt idx="10">
                  <c:v>3.6147109179932406</c:v>
                </c:pt>
                <c:pt idx="11">
                  <c:v>3.2520556060722421</c:v>
                </c:pt>
                <c:pt idx="12">
                  <c:v>3.0543198865730088</c:v>
                </c:pt>
                <c:pt idx="13">
                  <c:v>3.2243054887795948</c:v>
                </c:pt>
                <c:pt idx="14">
                  <c:v>2.517710060321011</c:v>
                </c:pt>
                <c:pt idx="15">
                  <c:v>1.9947816872458526</c:v>
                </c:pt>
                <c:pt idx="16">
                  <c:v>1.5383890605165522</c:v>
                </c:pt>
                <c:pt idx="17">
                  <c:v>1.0055222733412368</c:v>
                </c:pt>
                <c:pt idx="18">
                  <c:v>0.67042347324340146</c:v>
                </c:pt>
              </c:numCache>
            </c:numRef>
          </c:xVal>
          <c:yVal>
            <c:numRef>
              <c:f>'ALL CONTROLS'!$H$63:$H$81</c:f>
              <c:numCache>
                <c:formatCode>0</c:formatCode>
                <c:ptCount val="1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9A-4054-AE48-39CAA92D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90464"/>
        <c:axId val="67388928"/>
      </c:scatterChart>
      <c:catAx>
        <c:axId val="123578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anchor="ctr" anchorCtr="1"/>
          <a:lstStyle/>
          <a:p>
            <a:pPr>
              <a:defRPr sz="900">
                <a:latin typeface="Verdana" pitchFamily="34" charset="0"/>
                <a:ea typeface="Verdana" pitchFamily="34" charset="0"/>
                <a:cs typeface="Verdana" pitchFamily="34" charset="0"/>
              </a:defRPr>
            </a:pPr>
            <a:endParaRPr lang="en-US"/>
          </a:p>
        </c:txPr>
        <c:crossAx val="67387392"/>
        <c:crosses val="autoZero"/>
        <c:auto val="1"/>
        <c:lblAlgn val="ctr"/>
        <c:lblOffset val="200"/>
        <c:noMultiLvlLbl val="0"/>
      </c:catAx>
      <c:valAx>
        <c:axId val="67387392"/>
        <c:scaling>
          <c:orientation val="minMax"/>
          <c:max val="8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123578624"/>
        <c:crosses val="autoZero"/>
        <c:crossBetween val="between"/>
      </c:valAx>
      <c:valAx>
        <c:axId val="67388928"/>
        <c:scaling>
          <c:orientation val="maxMin"/>
          <c:max val="19.5"/>
          <c:min val="0.5"/>
        </c:scaling>
        <c:delete val="1"/>
        <c:axPos val="r"/>
        <c:numFmt formatCode="0" sourceLinked="1"/>
        <c:majorTickMark val="out"/>
        <c:minorTickMark val="none"/>
        <c:tickLblPos val="none"/>
        <c:crossAx val="67390464"/>
        <c:crosses val="max"/>
        <c:crossBetween val="midCat"/>
      </c:valAx>
      <c:valAx>
        <c:axId val="67390464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one"/>
        <c:crossAx val="67388928"/>
        <c:crosses val="max"/>
        <c:crossBetween val="midCat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trlProps/ctrlProp1.xml><?xml version="1.0" encoding="utf-8"?>
<formControlPr xmlns="http://schemas.microsoft.com/office/spreadsheetml/2009/9/main" objectType="List" dx="16" fmlaLink="'ALL CONTROLS'!$B$35" fmlaRange="'ALL CONTROLS'!$C$3:$C$30" noThreeD="1" sel="27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Interpretation guide'!A1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hyperlink" Target="#Output!A1"/><Relationship Id="rId5" Type="http://schemas.openxmlformats.org/officeDocument/2006/relationships/hyperlink" Target="#Readme!A1"/><Relationship Id="rId4" Type="http://schemas.openxmlformats.org/officeDocument/2006/relationships/hyperlink" Target="#'How to copy charts &amp; tables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Output!A1"/><Relationship Id="rId3" Type="http://schemas.openxmlformats.org/officeDocument/2006/relationships/image" Target="../media/image2.emf"/><Relationship Id="rId7" Type="http://schemas.openxmlformats.org/officeDocument/2006/relationships/hyperlink" Target="#Readme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How to copy charts &amp; tables'!A1"/><Relationship Id="rId5" Type="http://schemas.openxmlformats.org/officeDocument/2006/relationships/image" Target="../media/image4.emf"/><Relationship Id="rId4" Type="http://schemas.openxmlformats.org/officeDocument/2006/relationships/image" Target="../media/image3.jpeg"/><Relationship Id="rId9" Type="http://schemas.openxmlformats.org/officeDocument/2006/relationships/hyperlink" Target="#'Interpretation guide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How to copy charts &amp; tables'!A1"/><Relationship Id="rId3" Type="http://schemas.openxmlformats.org/officeDocument/2006/relationships/image" Target="../media/image5.png"/><Relationship Id="rId7" Type="http://schemas.openxmlformats.org/officeDocument/2006/relationships/image" Target="../media/image9.emf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8.png"/><Relationship Id="rId11" Type="http://schemas.openxmlformats.org/officeDocument/2006/relationships/hyperlink" Target="#'Interpretation guide'!A1"/><Relationship Id="rId5" Type="http://schemas.openxmlformats.org/officeDocument/2006/relationships/image" Target="../media/image7.png"/><Relationship Id="rId10" Type="http://schemas.openxmlformats.org/officeDocument/2006/relationships/hyperlink" Target="#Output!A1"/><Relationship Id="rId4" Type="http://schemas.openxmlformats.org/officeDocument/2006/relationships/image" Target="../media/image6.png"/><Relationship Id="rId9" Type="http://schemas.openxmlformats.org/officeDocument/2006/relationships/hyperlink" Target="#Readm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Interpretation guide'!A1"/><Relationship Id="rId3" Type="http://schemas.openxmlformats.org/officeDocument/2006/relationships/image" Target="../media/image3.jpeg"/><Relationship Id="rId7" Type="http://schemas.openxmlformats.org/officeDocument/2006/relationships/hyperlink" Target="#Output!A1"/><Relationship Id="rId2" Type="http://schemas.openxmlformats.org/officeDocument/2006/relationships/image" Target="../media/image2.emf"/><Relationship Id="rId1" Type="http://schemas.openxmlformats.org/officeDocument/2006/relationships/image" Target="../media/image10.emf"/><Relationship Id="rId6" Type="http://schemas.openxmlformats.org/officeDocument/2006/relationships/hyperlink" Target="#Readme!A1"/><Relationship Id="rId5" Type="http://schemas.openxmlformats.org/officeDocument/2006/relationships/hyperlink" Target="#'How to copy charts &amp; tables'!A1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257175</xdr:colOff>
      <xdr:row>10</xdr:row>
      <xdr:rowOff>19050</xdr:rowOff>
    </xdr:to>
    <xdr:grpSp>
      <xdr:nvGrpSpPr>
        <xdr:cNvPr id="13" name="Group 12"/>
        <xdr:cNvGrpSpPr/>
      </xdr:nvGrpSpPr>
      <xdr:grpSpPr>
        <a:xfrm>
          <a:off x="0" y="0"/>
          <a:ext cx="14497050" cy="1371600"/>
          <a:chOff x="0" y="0"/>
          <a:chExt cx="14497050" cy="1371600"/>
        </a:xfrm>
      </xdr:grpSpPr>
      <xdr:pic>
        <xdr:nvPicPr>
          <xdr:cNvPr id="2048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962025"/>
            <a:ext cx="14497050" cy="409575"/>
          </a:xfrm>
          <a:prstGeom prst="rect">
            <a:avLst/>
          </a:prstGeom>
          <a:noFill/>
        </xdr:spPr>
      </xdr:pic>
      <xdr:grpSp>
        <xdr:nvGrpSpPr>
          <xdr:cNvPr id="2" name="Group 1"/>
          <xdr:cNvGrpSpPr/>
        </xdr:nvGrpSpPr>
        <xdr:grpSpPr>
          <a:xfrm>
            <a:off x="0" y="0"/>
            <a:ext cx="14497050" cy="981075"/>
            <a:chOff x="0" y="0"/>
            <a:chExt cx="14497050" cy="981075"/>
          </a:xfrm>
        </xdr:grpSpPr>
        <xdr:pic>
          <xdr:nvPicPr>
            <xdr:cNvPr id="3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/>
            <a:stretch>
              <a:fillRect/>
            </a:stretch>
          </xdr:blipFill>
          <xdr:spPr bwMode="auto">
            <a:xfrm>
              <a:off x="0" y="0"/>
              <a:ext cx="14497050" cy="981075"/>
            </a:xfrm>
            <a:prstGeom prst="rect">
              <a:avLst/>
            </a:prstGeom>
            <a:noFill/>
          </xdr:spPr>
        </xdr:pic>
        <xdr:pic>
          <xdr:nvPicPr>
            <xdr:cNvPr id="4" name="Picture 3" descr="20160322_InteractiveBanner_BP.jpg"/>
            <xdr:cNvPicPr>
              <a:picLocks/>
            </xdr:cNvPicPr>
          </xdr:nvPicPr>
          <xdr:blipFill>
            <a:blip xmlns:r="http://schemas.openxmlformats.org/officeDocument/2006/relationships" r:embed="rId3" cstate="print"/>
            <a:srcRect t="4423" r="77769" b="9583"/>
            <a:stretch>
              <a:fillRect/>
            </a:stretch>
          </xdr:blipFill>
          <xdr:spPr>
            <a:xfrm>
              <a:off x="66675" y="66675"/>
              <a:ext cx="3232741" cy="841321"/>
            </a:xfrm>
            <a:prstGeom prst="rect">
              <a:avLst/>
            </a:prstGeom>
          </xdr:spPr>
        </xdr:pic>
      </xdr:grpSp>
      <xdr:grpSp>
        <xdr:nvGrpSpPr>
          <xdr:cNvPr id="6" name="Group 5"/>
          <xdr:cNvGrpSpPr/>
        </xdr:nvGrpSpPr>
        <xdr:grpSpPr>
          <a:xfrm>
            <a:off x="285750" y="1038225"/>
            <a:ext cx="10778550" cy="316800"/>
            <a:chOff x="4638675" y="3771900"/>
            <a:chExt cx="10778550" cy="316800"/>
          </a:xfrm>
          <a:solidFill>
            <a:schemeClr val="tx2">
              <a:lumMod val="20000"/>
              <a:lumOff val="80000"/>
              <a:alpha val="0"/>
            </a:schemeClr>
          </a:solidFill>
        </xdr:grpSpPr>
        <xdr:sp macro="" textlink="">
          <xdr:nvSpPr>
            <xdr:cNvPr id="7" name="Rectangle 6">
              <a:hlinkClick xmlns:r="http://schemas.openxmlformats.org/officeDocument/2006/relationships" r:id="rId4" tooltip="How to copy charts &amp; tables"/>
            </xdr:cNvPr>
            <xdr:cNvSpPr/>
          </xdr:nvSpPr>
          <xdr:spPr>
            <a:xfrm>
              <a:off x="143732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8" name="Rectangle 7">
              <a:hlinkClick xmlns:r="http://schemas.openxmlformats.org/officeDocument/2006/relationships" r:id="rId5" tooltip="Readme"/>
            </xdr:cNvPr>
            <xdr:cNvSpPr/>
          </xdr:nvSpPr>
          <xdr:spPr>
            <a:xfrm>
              <a:off x="463867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" name="Rectangle 8">
              <a:hlinkClick xmlns:r="http://schemas.openxmlformats.org/officeDocument/2006/relationships" r:id="rId6" tooltip="Population pyramid"/>
            </xdr:cNvPr>
            <xdr:cNvSpPr/>
          </xdr:nvSpPr>
          <xdr:spPr>
            <a:xfrm>
              <a:off x="57245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10" name="Rectangle 9">
              <a:hlinkClick xmlns:r="http://schemas.openxmlformats.org/officeDocument/2006/relationships" r:id="rId7" tooltip="Interpretation guide"/>
            </xdr:cNvPr>
            <xdr:cNvSpPr/>
          </xdr:nvSpPr>
          <xdr:spPr>
            <a:xfrm>
              <a:off x="13315950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19040</xdr:colOff>
      <xdr:row>8</xdr:row>
      <xdr:rowOff>125565</xdr:rowOff>
    </xdr:from>
    <xdr:to>
      <xdr:col>3</xdr:col>
      <xdr:colOff>604790</xdr:colOff>
      <xdr:row>32</xdr:row>
      <xdr:rowOff>112515</xdr:rowOff>
    </xdr:to>
    <xdr:sp macro="" textlink="">
      <xdr:nvSpPr>
        <xdr:cNvPr id="2" name="Rectangle 1"/>
        <xdr:cNvSpPr>
          <a:spLocks/>
        </xdr:cNvSpPr>
      </xdr:nvSpPr>
      <xdr:spPr>
        <a:xfrm>
          <a:off x="257165" y="1592415"/>
          <a:ext cx="1519200" cy="3816000"/>
        </a:xfrm>
        <a:prstGeom prst="rect">
          <a:avLst/>
        </a:prstGeom>
        <a:noFill/>
        <a:ln w="3175">
          <a:solidFill>
            <a:srgbClr val="5283B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absolute">
    <xdr:from>
      <xdr:col>3</xdr:col>
      <xdr:colOff>726920</xdr:colOff>
      <xdr:row>8</xdr:row>
      <xdr:rowOff>83158</xdr:rowOff>
    </xdr:from>
    <xdr:to>
      <xdr:col>15</xdr:col>
      <xdr:colOff>106667</xdr:colOff>
      <xdr:row>36</xdr:row>
      <xdr:rowOff>38383</xdr:rowOff>
    </xdr:to>
    <xdr:grpSp>
      <xdr:nvGrpSpPr>
        <xdr:cNvPr id="6" name="Group 5"/>
        <xdr:cNvGrpSpPr>
          <a:grpSpLocks noChangeAspect="1"/>
        </xdr:cNvGrpSpPr>
      </xdr:nvGrpSpPr>
      <xdr:grpSpPr>
        <a:xfrm>
          <a:off x="1898495" y="1550008"/>
          <a:ext cx="6466347" cy="4327200"/>
          <a:chOff x="2167255" y="1682115"/>
          <a:chExt cx="6466855" cy="4328108"/>
        </a:xfrm>
      </xdr:grpSpPr>
      <xdr:grpSp>
        <xdr:nvGrpSpPr>
          <xdr:cNvPr id="7" name="Group 173"/>
          <xdr:cNvGrpSpPr/>
        </xdr:nvGrpSpPr>
        <xdr:grpSpPr>
          <a:xfrm>
            <a:off x="2353967" y="1906223"/>
            <a:ext cx="6280143" cy="4104000"/>
            <a:chOff x="2334917" y="1896698"/>
            <a:chExt cx="6282574" cy="4104000"/>
          </a:xfrm>
        </xdr:grpSpPr>
        <xdr:graphicFrame macro="">
          <xdr:nvGraphicFramePr>
            <xdr:cNvPr id="10" name="Chart 9"/>
            <xdr:cNvGraphicFramePr/>
          </xdr:nvGraphicFramePr>
          <xdr:xfrm>
            <a:off x="2334917" y="1896698"/>
            <a:ext cx="2945940" cy="4104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1" name="Chart 10"/>
            <xdr:cNvGraphicFramePr/>
          </xdr:nvGraphicFramePr>
          <xdr:xfrm>
            <a:off x="5268195" y="1896698"/>
            <a:ext cx="3349296" cy="4104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sp macro="" textlink="'ALL CONTROLS'!E3">
        <xdr:nvSpPr>
          <xdr:cNvPr id="8" name="TextBox 7"/>
          <xdr:cNvSpPr txBox="1"/>
        </xdr:nvSpPr>
        <xdr:spPr>
          <a:xfrm>
            <a:off x="2167255" y="1682115"/>
            <a:ext cx="6069933" cy="25616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fld id="{311BDE5C-E325-47DE-B412-B979A31FEB6A}" type="TxLink">
              <a:rPr lang="en-US" sz="900" b="1" i="0" u="none" strike="noStrike">
                <a:solidFill>
                  <a:srgbClr val="000000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pPr algn="l"/>
              <a:t>Percentage of population by age and sex, Monmouthshire and Wales, 2015</a:t>
            </a:fld>
            <a:endParaRPr lang="en-GB" sz="1050" b="1"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171602" y="1853630"/>
            <a:ext cx="551878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800" b="0" baseline="0">
                <a:solidFill>
                  <a:schemeClr val="dk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Produced by Public Health Wales Observatory, using MYE (ONS)</a:t>
            </a:r>
            <a:endParaRPr lang="en-GB" sz="800" b="0">
              <a:solidFill>
                <a:schemeClr val="dk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9525</xdr:colOff>
      <xdr:row>10</xdr:row>
      <xdr:rowOff>64776</xdr:rowOff>
    </xdr:to>
    <xdr:grpSp>
      <xdr:nvGrpSpPr>
        <xdr:cNvPr id="21" name="Group 20"/>
        <xdr:cNvGrpSpPr/>
      </xdr:nvGrpSpPr>
      <xdr:grpSpPr>
        <a:xfrm>
          <a:off x="0" y="0"/>
          <a:ext cx="14497050" cy="1826901"/>
          <a:chOff x="0" y="0"/>
          <a:chExt cx="14497050" cy="1826901"/>
        </a:xfrm>
      </xdr:grpSpPr>
      <xdr:sp macro="" textlink="">
        <xdr:nvSpPr>
          <xdr:cNvPr id="3" name="TextBox 2"/>
          <xdr:cNvSpPr txBox="1"/>
        </xdr:nvSpPr>
        <xdr:spPr>
          <a:xfrm>
            <a:off x="273657" y="1622147"/>
            <a:ext cx="1743405" cy="2047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l"/>
            <a:r>
              <a:rPr lang="en-GB" sz="1000" b="1">
                <a:solidFill>
                  <a:srgbClr val="3B8DCC"/>
                </a:solidFill>
                <a:latin typeface="Verdana" pitchFamily="34" charset="0"/>
              </a:rPr>
              <a:t>Choose area: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3544571" y="311616"/>
            <a:ext cx="6922628" cy="3262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GB" sz="14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39" name="TextBox 38"/>
          <xdr:cNvSpPr txBox="1">
            <a:spLocks noChangeAspect="1"/>
          </xdr:cNvSpPr>
        </xdr:nvSpPr>
        <xdr:spPr>
          <a:xfrm>
            <a:off x="3717809" y="381350"/>
            <a:ext cx="5762909" cy="3625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13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Demography 2016: Population pyramid</a:t>
            </a:r>
            <a:r>
              <a:rPr lang="en-GB" sz="13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area &amp; Wales</a:t>
            </a:r>
            <a:endParaRPr lang="en-GB" sz="13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grpSp>
        <xdr:nvGrpSpPr>
          <xdr:cNvPr id="28" name="Group 27"/>
          <xdr:cNvGrpSpPr/>
        </xdr:nvGrpSpPr>
        <xdr:grpSpPr>
          <a:xfrm>
            <a:off x="0" y="0"/>
            <a:ext cx="14497050" cy="981075"/>
            <a:chOff x="0" y="0"/>
            <a:chExt cx="14497050" cy="981075"/>
          </a:xfrm>
        </xdr:grpSpPr>
        <xdr:pic>
          <xdr:nvPicPr>
            <xdr:cNvPr id="2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0" y="0"/>
              <a:ext cx="14497050" cy="981075"/>
            </a:xfrm>
            <a:prstGeom prst="rect">
              <a:avLst/>
            </a:prstGeom>
            <a:noFill/>
          </xdr:spPr>
        </xdr:pic>
        <xdr:pic>
          <xdr:nvPicPr>
            <xdr:cNvPr id="30" name="Picture 29" descr="20160322_InteractiveBanner_BP.jpg"/>
            <xdr:cNvPicPr>
              <a:picLocks/>
            </xdr:cNvPicPr>
          </xdr:nvPicPr>
          <xdr:blipFill>
            <a:blip xmlns:r="http://schemas.openxmlformats.org/officeDocument/2006/relationships" r:embed="rId4" cstate="print"/>
            <a:srcRect t="4423" r="77769" b="9583"/>
            <a:stretch>
              <a:fillRect/>
            </a:stretch>
          </xdr:blipFill>
          <xdr:spPr>
            <a:xfrm>
              <a:off x="66675" y="66675"/>
              <a:ext cx="3232741" cy="841321"/>
            </a:xfrm>
            <a:prstGeom prst="rect">
              <a:avLst/>
            </a:prstGeom>
          </xdr:spPr>
        </xdr:pic>
      </xdr:grpSp>
      <xdr:pic>
        <xdr:nvPicPr>
          <xdr:cNvPr id="1843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952500"/>
            <a:ext cx="14497050" cy="409575"/>
          </a:xfrm>
          <a:prstGeom prst="rect">
            <a:avLst/>
          </a:prstGeom>
          <a:noFill/>
        </xdr:spPr>
      </xdr:pic>
      <xdr:grpSp>
        <xdr:nvGrpSpPr>
          <xdr:cNvPr id="16" name="Group 15"/>
          <xdr:cNvGrpSpPr/>
        </xdr:nvGrpSpPr>
        <xdr:grpSpPr>
          <a:xfrm>
            <a:off x="285750" y="1019175"/>
            <a:ext cx="10778550" cy="316800"/>
            <a:chOff x="4638675" y="3771900"/>
            <a:chExt cx="10778550" cy="316800"/>
          </a:xfrm>
          <a:solidFill>
            <a:schemeClr val="tx2">
              <a:lumMod val="20000"/>
              <a:lumOff val="80000"/>
              <a:alpha val="0"/>
            </a:schemeClr>
          </a:solidFill>
        </xdr:grpSpPr>
        <xdr:sp macro="" textlink="">
          <xdr:nvSpPr>
            <xdr:cNvPr id="17" name="Rectangle 16">
              <a:hlinkClick xmlns:r="http://schemas.openxmlformats.org/officeDocument/2006/relationships" r:id="rId6" tooltip="How to copy charts &amp; tables"/>
            </xdr:cNvPr>
            <xdr:cNvSpPr/>
          </xdr:nvSpPr>
          <xdr:spPr>
            <a:xfrm>
              <a:off x="143732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18" name="Rectangle 17">
              <a:hlinkClick xmlns:r="http://schemas.openxmlformats.org/officeDocument/2006/relationships" r:id="rId7" tooltip="Readme"/>
            </xdr:cNvPr>
            <xdr:cNvSpPr/>
          </xdr:nvSpPr>
          <xdr:spPr>
            <a:xfrm>
              <a:off x="463867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19" name="Rectangle 18">
              <a:hlinkClick xmlns:r="http://schemas.openxmlformats.org/officeDocument/2006/relationships" r:id="rId8" tooltip="Population pyramid"/>
            </xdr:cNvPr>
            <xdr:cNvSpPr/>
          </xdr:nvSpPr>
          <xdr:spPr>
            <a:xfrm>
              <a:off x="57245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20" name="Rectangle 19">
              <a:hlinkClick xmlns:r="http://schemas.openxmlformats.org/officeDocument/2006/relationships" r:id="rId9" tooltip="Interpretation guide"/>
            </xdr:cNvPr>
            <xdr:cNvSpPr/>
          </xdr:nvSpPr>
          <xdr:spPr>
            <a:xfrm>
              <a:off x="13315950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123825</xdr:colOff>
          <xdr:row>10</xdr:row>
          <xdr:rowOff>66675</xdr:rowOff>
        </xdr:from>
        <xdr:to>
          <xdr:col>3</xdr:col>
          <xdr:colOff>466725</xdr:colOff>
          <xdr:row>32</xdr:row>
          <xdr:rowOff>38100</xdr:rowOff>
        </xdr:to>
        <xdr:sp macro="" textlink="">
          <xdr:nvSpPr>
            <xdr:cNvPr id="18433" name="List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0.79056</cdr:x>
      <cdr:y>0.11259</cdr:y>
    </cdr:from>
    <cdr:to>
      <cdr:x>0.99619</cdr:x>
      <cdr:y>0.17344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2160555" y="461761"/>
          <a:ext cx="561971" cy="249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GB" sz="900" b="1">
              <a:latin typeface="Verdana" pitchFamily="34" charset="0"/>
              <a:ea typeface="Verdana" pitchFamily="34" charset="0"/>
              <a:cs typeface="Verdana" pitchFamily="34" charset="0"/>
            </a:rPr>
            <a:t>Males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0.12507</cdr:x>
      <cdr:y>0.11125</cdr:y>
    </cdr:from>
    <cdr:to>
      <cdr:x>0.37206</cdr:x>
      <cdr:y>0.1721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368306" y="456570"/>
          <a:ext cx="727334" cy="249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GB" sz="900" b="1">
              <a:latin typeface="Verdana" pitchFamily="34" charset="0"/>
              <a:ea typeface="Verdana" pitchFamily="34" charset="0"/>
              <a:cs typeface="Verdana" pitchFamily="34" charset="0"/>
            </a:rPr>
            <a:t>Females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24</xdr:col>
      <xdr:colOff>28575</xdr:colOff>
      <xdr:row>51</xdr:row>
      <xdr:rowOff>104775</xdr:rowOff>
    </xdr:to>
    <xdr:grpSp>
      <xdr:nvGrpSpPr>
        <xdr:cNvPr id="37" name="Group 36"/>
        <xdr:cNvGrpSpPr/>
      </xdr:nvGrpSpPr>
      <xdr:grpSpPr>
        <a:xfrm>
          <a:off x="0" y="0"/>
          <a:ext cx="14497050" cy="7753350"/>
          <a:chOff x="0" y="0"/>
          <a:chExt cx="14497050" cy="7858125"/>
        </a:xfrm>
      </xdr:grpSpPr>
      <xdr:grpSp>
        <xdr:nvGrpSpPr>
          <xdr:cNvPr id="2" name="Group 1"/>
          <xdr:cNvGrpSpPr/>
        </xdr:nvGrpSpPr>
        <xdr:grpSpPr>
          <a:xfrm>
            <a:off x="0" y="0"/>
            <a:ext cx="14497050" cy="981075"/>
            <a:chOff x="0" y="0"/>
            <a:chExt cx="14497050" cy="981075"/>
          </a:xfrm>
        </xdr:grpSpPr>
        <xdr:pic>
          <xdr:nvPicPr>
            <xdr:cNvPr id="3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0" y="0"/>
              <a:ext cx="14497050" cy="981075"/>
            </a:xfrm>
            <a:prstGeom prst="rect">
              <a:avLst/>
            </a:prstGeom>
            <a:noFill/>
          </xdr:spPr>
        </xdr:pic>
        <xdr:pic>
          <xdr:nvPicPr>
            <xdr:cNvPr id="4" name="Picture 3" descr="20160322_InteractiveBanner_BP.jpg"/>
            <xdr:cNvPicPr>
              <a:picLocks/>
            </xdr:cNvPicPr>
          </xdr:nvPicPr>
          <xdr:blipFill>
            <a:blip xmlns:r="http://schemas.openxmlformats.org/officeDocument/2006/relationships" r:embed="rId2" cstate="print"/>
            <a:srcRect t="4423" r="77769" b="9583"/>
            <a:stretch>
              <a:fillRect/>
            </a:stretch>
          </xdr:blipFill>
          <xdr:spPr>
            <a:xfrm>
              <a:off x="66675" y="66675"/>
              <a:ext cx="3232741" cy="841321"/>
            </a:xfrm>
            <a:prstGeom prst="rect">
              <a:avLst/>
            </a:prstGeom>
          </xdr:spPr>
        </xdr:pic>
      </xdr:grpSp>
      <xdr:pic>
        <xdr:nvPicPr>
          <xdr:cNvPr id="5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48224" t="7884" r="45427" b="68825"/>
          <a:stretch>
            <a:fillRect/>
          </a:stretch>
        </xdr:blipFill>
        <xdr:spPr bwMode="auto">
          <a:xfrm>
            <a:off x="5548033" y="5448301"/>
            <a:ext cx="1595718" cy="227423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53184" t="10213" r="26985" b="55283"/>
          <a:stretch>
            <a:fillRect/>
          </a:stretch>
        </xdr:blipFill>
        <xdr:spPr bwMode="auto">
          <a:xfrm>
            <a:off x="7315200" y="5448301"/>
            <a:ext cx="3371526" cy="22669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grpSp>
        <xdr:nvGrpSpPr>
          <xdr:cNvPr id="7" name="Group 6"/>
          <xdr:cNvGrpSpPr/>
        </xdr:nvGrpSpPr>
        <xdr:grpSpPr>
          <a:xfrm>
            <a:off x="152400" y="5419725"/>
            <a:ext cx="3552825" cy="2438400"/>
            <a:chOff x="9525" y="3971925"/>
            <a:chExt cx="3943350" cy="2438400"/>
          </a:xfrm>
        </xdr:grpSpPr>
        <xdr:pic>
          <xdr:nvPicPr>
            <xdr:cNvPr id="8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 l="3385" t="18066" r="78646" b="56934"/>
            <a:stretch>
              <a:fillRect/>
            </a:stretch>
          </xdr:blipFill>
          <xdr:spPr bwMode="auto">
            <a:xfrm>
              <a:off x="9525" y="3971925"/>
              <a:ext cx="3943350" cy="24384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9" name="TextBox 8"/>
            <xdr:cNvSpPr txBox="1"/>
          </xdr:nvSpPr>
          <xdr:spPr>
            <a:xfrm rot="20668275">
              <a:off x="26694" y="4950852"/>
              <a:ext cx="2798599" cy="581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l"/>
              <a:r>
                <a:rPr lang="en-GB" sz="3500">
                  <a:solidFill>
                    <a:schemeClr val="bg1">
                      <a:lumMod val="65000"/>
                    </a:schemeClr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EXAMPLE</a:t>
              </a:r>
              <a:r>
                <a:rPr lang="en-GB" sz="3600">
                  <a:solidFill>
                    <a:schemeClr val="bg1">
                      <a:lumMod val="65000"/>
                    </a:schemeClr>
                  </a:solidFill>
                </a:rPr>
                <a:t> </a:t>
              </a:r>
            </a:p>
          </xdr:txBody>
        </xdr:sp>
      </xdr:grpSp>
      <xdr:grpSp>
        <xdr:nvGrpSpPr>
          <xdr:cNvPr id="10" name="Group 9"/>
          <xdr:cNvGrpSpPr/>
        </xdr:nvGrpSpPr>
        <xdr:grpSpPr>
          <a:xfrm>
            <a:off x="8029575" y="1876425"/>
            <a:ext cx="4571163" cy="3276000"/>
            <a:chOff x="7219950" y="190500"/>
            <a:chExt cx="4571163" cy="3276000"/>
          </a:xfrm>
        </xdr:grpSpPr>
        <xdr:pic>
          <xdr:nvPicPr>
            <xdr:cNvPr id="11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 t="2539" r="66146" b="42871"/>
            <a:stretch>
              <a:fillRect/>
            </a:stretch>
          </xdr:blipFill>
          <xdr:spPr bwMode="auto">
            <a:xfrm>
              <a:off x="7219950" y="190500"/>
              <a:ext cx="4571163" cy="327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12" name="TextBox 11"/>
            <xdr:cNvSpPr txBox="1"/>
          </xdr:nvSpPr>
          <xdr:spPr>
            <a:xfrm rot="20668275">
              <a:off x="8715374" y="1981201"/>
              <a:ext cx="2381250" cy="581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3600">
                  <a:solidFill>
                    <a:schemeClr val="bg1">
                      <a:lumMod val="65000"/>
                    </a:schemeClr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EXAMPLE</a:t>
              </a:r>
              <a:r>
                <a:rPr lang="en-GB" sz="3600">
                  <a:solidFill>
                    <a:schemeClr val="bg1">
                      <a:lumMod val="65000"/>
                    </a:schemeClr>
                  </a:solidFill>
                </a:rPr>
                <a:t> </a:t>
              </a:r>
            </a:p>
          </xdr:txBody>
        </xdr:sp>
      </xdr:grpSp>
      <xdr:pic>
        <xdr:nvPicPr>
          <xdr:cNvPr id="22529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0" y="962025"/>
            <a:ext cx="14497050" cy="409575"/>
          </a:xfrm>
          <a:prstGeom prst="rect">
            <a:avLst/>
          </a:prstGeom>
          <a:noFill/>
        </xdr:spPr>
      </xdr:pic>
      <xdr:grpSp>
        <xdr:nvGrpSpPr>
          <xdr:cNvPr id="19" name="Group 18"/>
          <xdr:cNvGrpSpPr/>
        </xdr:nvGrpSpPr>
        <xdr:grpSpPr>
          <a:xfrm>
            <a:off x="295275" y="1028700"/>
            <a:ext cx="10778550" cy="316800"/>
            <a:chOff x="4638675" y="3771900"/>
            <a:chExt cx="10778550" cy="316800"/>
          </a:xfrm>
          <a:solidFill>
            <a:schemeClr val="tx2">
              <a:lumMod val="20000"/>
              <a:lumOff val="80000"/>
              <a:alpha val="0"/>
            </a:schemeClr>
          </a:solidFill>
        </xdr:grpSpPr>
        <xdr:sp macro="" textlink="">
          <xdr:nvSpPr>
            <xdr:cNvPr id="20" name="Rectangle 19">
              <a:hlinkClick xmlns:r="http://schemas.openxmlformats.org/officeDocument/2006/relationships" r:id="rId8" tooltip="How to copy charts &amp; tables"/>
            </xdr:cNvPr>
            <xdr:cNvSpPr/>
          </xdr:nvSpPr>
          <xdr:spPr>
            <a:xfrm>
              <a:off x="143732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21" name="Rectangle 20">
              <a:hlinkClick xmlns:r="http://schemas.openxmlformats.org/officeDocument/2006/relationships" r:id="rId9" tooltip="Readme"/>
            </xdr:cNvPr>
            <xdr:cNvSpPr/>
          </xdr:nvSpPr>
          <xdr:spPr>
            <a:xfrm>
              <a:off x="463867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22" name="Rectangle 21">
              <a:hlinkClick xmlns:r="http://schemas.openxmlformats.org/officeDocument/2006/relationships" r:id="rId10" tooltip="Population pyramid"/>
            </xdr:cNvPr>
            <xdr:cNvSpPr/>
          </xdr:nvSpPr>
          <xdr:spPr>
            <a:xfrm>
              <a:off x="57245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23" name="Rectangle 22">
              <a:hlinkClick xmlns:r="http://schemas.openxmlformats.org/officeDocument/2006/relationships" r:id="rId11" tooltip="Interpretation guide"/>
            </xdr:cNvPr>
            <xdr:cNvSpPr/>
          </xdr:nvSpPr>
          <xdr:spPr>
            <a:xfrm>
              <a:off x="13315950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</xdr:grpSp>
      <xdr:grpSp>
        <xdr:nvGrpSpPr>
          <xdr:cNvPr id="31" name="Group 30"/>
          <xdr:cNvGrpSpPr/>
        </xdr:nvGrpSpPr>
        <xdr:grpSpPr>
          <a:xfrm>
            <a:off x="352425" y="1028700"/>
            <a:ext cx="10778550" cy="316800"/>
            <a:chOff x="4638675" y="3771900"/>
            <a:chExt cx="10778550" cy="316800"/>
          </a:xfrm>
          <a:solidFill>
            <a:schemeClr val="tx2">
              <a:lumMod val="20000"/>
              <a:lumOff val="80000"/>
              <a:alpha val="0"/>
            </a:schemeClr>
          </a:solidFill>
        </xdr:grpSpPr>
        <xdr:sp macro="" textlink="">
          <xdr:nvSpPr>
            <xdr:cNvPr id="32" name="Rectangle 31">
              <a:hlinkClick xmlns:r="http://schemas.openxmlformats.org/officeDocument/2006/relationships" r:id="rId8" tooltip="How to copy charts &amp; tables"/>
            </xdr:cNvPr>
            <xdr:cNvSpPr/>
          </xdr:nvSpPr>
          <xdr:spPr>
            <a:xfrm>
              <a:off x="143732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33" name="Rectangle 32">
              <a:hlinkClick xmlns:r="http://schemas.openxmlformats.org/officeDocument/2006/relationships" r:id="rId9" tooltip="Readme"/>
            </xdr:cNvPr>
            <xdr:cNvSpPr/>
          </xdr:nvSpPr>
          <xdr:spPr>
            <a:xfrm>
              <a:off x="463867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34" name="Rectangle 33">
              <a:hlinkClick xmlns:r="http://schemas.openxmlformats.org/officeDocument/2006/relationships" r:id="rId10" tooltip="Population pyramid"/>
            </xdr:cNvPr>
            <xdr:cNvSpPr/>
          </xdr:nvSpPr>
          <xdr:spPr>
            <a:xfrm>
              <a:off x="57245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35" name="Rectangle 34">
              <a:hlinkClick xmlns:r="http://schemas.openxmlformats.org/officeDocument/2006/relationships" r:id="rId11" tooltip="Interpretation guide"/>
            </xdr:cNvPr>
            <xdr:cNvSpPr/>
          </xdr:nvSpPr>
          <xdr:spPr>
            <a:xfrm>
              <a:off x="13315950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9525</xdr:rowOff>
    </xdr:from>
    <xdr:to>
      <xdr:col>14</xdr:col>
      <xdr:colOff>514350</xdr:colOff>
      <xdr:row>55</xdr:row>
      <xdr:rowOff>114300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33525"/>
          <a:ext cx="9048750" cy="905827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185495</xdr:colOff>
      <xdr:row>9</xdr:row>
      <xdr:rowOff>161925</xdr:rowOff>
    </xdr:from>
    <xdr:to>
      <xdr:col>12</xdr:col>
      <xdr:colOff>33018</xdr:colOff>
      <xdr:row>11</xdr:row>
      <xdr:rowOff>123825</xdr:rowOff>
    </xdr:to>
    <xdr:sp macro="" textlink="">
      <xdr:nvSpPr>
        <xdr:cNvPr id="9" name="TextBox 8"/>
        <xdr:cNvSpPr txBox="1"/>
      </xdr:nvSpPr>
      <xdr:spPr>
        <a:xfrm>
          <a:off x="6281495" y="1876425"/>
          <a:ext cx="1066723" cy="3429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Source of data used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8</xdr:col>
      <xdr:colOff>495301</xdr:colOff>
      <xdr:row>9</xdr:row>
      <xdr:rowOff>183541</xdr:rowOff>
    </xdr:from>
    <xdr:to>
      <xdr:col>10</xdr:col>
      <xdr:colOff>185495</xdr:colOff>
      <xdr:row>10</xdr:row>
      <xdr:rowOff>142875</xdr:rowOff>
    </xdr:to>
    <xdr:cxnSp macro="">
      <xdr:nvCxnSpPr>
        <xdr:cNvPr id="10" name="Straight Arrow Connector 9"/>
        <xdr:cNvCxnSpPr>
          <a:stCxn id="9" idx="1"/>
        </xdr:cNvCxnSpPr>
      </xdr:nvCxnSpPr>
      <xdr:spPr bwMode="auto">
        <a:xfrm flipH="1" flipV="1">
          <a:off x="5372101" y="1898041"/>
          <a:ext cx="909394" cy="149834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162106</xdr:colOff>
      <xdr:row>15</xdr:row>
      <xdr:rowOff>142875</xdr:rowOff>
    </xdr:from>
    <xdr:to>
      <xdr:col>12</xdr:col>
      <xdr:colOff>340702</xdr:colOff>
      <xdr:row>17</xdr:row>
      <xdr:rowOff>138689</xdr:rowOff>
    </xdr:to>
    <xdr:sp macro="" textlink="">
      <xdr:nvSpPr>
        <xdr:cNvPr id="11" name="TextBox 10"/>
        <xdr:cNvSpPr txBox="1"/>
      </xdr:nvSpPr>
      <xdr:spPr>
        <a:xfrm>
          <a:off x="6867706" y="3000375"/>
          <a:ext cx="788196" cy="376814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Wales population</a:t>
          </a:r>
        </a:p>
      </xdr:txBody>
    </xdr:sp>
    <xdr:clientData/>
  </xdr:twoCellAnchor>
  <xdr:twoCellAnchor>
    <xdr:from>
      <xdr:col>10</xdr:col>
      <xdr:colOff>238125</xdr:colOff>
      <xdr:row>16</xdr:row>
      <xdr:rowOff>140782</xdr:rowOff>
    </xdr:from>
    <xdr:to>
      <xdr:col>11</xdr:col>
      <xdr:colOff>162106</xdr:colOff>
      <xdr:row>16</xdr:row>
      <xdr:rowOff>179719</xdr:rowOff>
    </xdr:to>
    <xdr:cxnSp macro="">
      <xdr:nvCxnSpPr>
        <xdr:cNvPr id="12" name="Straight Arrow Connector 11"/>
        <xdr:cNvCxnSpPr>
          <a:stCxn id="11" idx="1"/>
        </xdr:cNvCxnSpPr>
      </xdr:nvCxnSpPr>
      <xdr:spPr bwMode="auto">
        <a:xfrm flipH="1">
          <a:off x="6334125" y="3188782"/>
          <a:ext cx="533581" cy="38937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123825</xdr:colOff>
      <xdr:row>15</xdr:row>
      <xdr:rowOff>0</xdr:rowOff>
    </xdr:from>
    <xdr:to>
      <xdr:col>5</xdr:col>
      <xdr:colOff>597146</xdr:colOff>
      <xdr:row>16</xdr:row>
      <xdr:rowOff>183174</xdr:rowOff>
    </xdr:to>
    <xdr:sp macro="" textlink="">
      <xdr:nvSpPr>
        <xdr:cNvPr id="13" name="TextBox 12"/>
        <xdr:cNvSpPr txBox="1"/>
      </xdr:nvSpPr>
      <xdr:spPr>
        <a:xfrm>
          <a:off x="2562225" y="2857500"/>
          <a:ext cx="1082921" cy="373674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Population</a:t>
          </a:r>
          <a:r>
            <a:rPr lang="en-GB" sz="800" baseline="0">
              <a:latin typeface="Verdana" pitchFamily="34" charset="0"/>
              <a:ea typeface="Verdana" pitchFamily="34" charset="0"/>
              <a:cs typeface="Verdana" pitchFamily="34" charset="0"/>
            </a:rPr>
            <a:t> of the chosen area</a:t>
          </a:r>
          <a:endParaRPr lang="en-GB" sz="800"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5</xdr:col>
      <xdr:colOff>597146</xdr:colOff>
      <xdr:row>15</xdr:row>
      <xdr:rowOff>186837</xdr:rowOff>
    </xdr:from>
    <xdr:to>
      <xdr:col>6</xdr:col>
      <xdr:colOff>447676</xdr:colOff>
      <xdr:row>18</xdr:row>
      <xdr:rowOff>120162</xdr:rowOff>
    </xdr:to>
    <xdr:cxnSp macro="">
      <xdr:nvCxnSpPr>
        <xdr:cNvPr id="14" name="Straight Arrow Connector 13"/>
        <xdr:cNvCxnSpPr>
          <a:stCxn id="13" idx="3"/>
        </xdr:cNvCxnSpPr>
      </xdr:nvCxnSpPr>
      <xdr:spPr bwMode="auto">
        <a:xfrm>
          <a:off x="3645146" y="3044337"/>
          <a:ext cx="460130" cy="504825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485948</xdr:colOff>
      <xdr:row>26</xdr:row>
      <xdr:rowOff>155651</xdr:rowOff>
    </xdr:from>
    <xdr:to>
      <xdr:col>16</xdr:col>
      <xdr:colOff>361947</xdr:colOff>
      <xdr:row>28</xdr:row>
      <xdr:rowOff>57148</xdr:rowOff>
    </xdr:to>
    <xdr:sp macro="" textlink="">
      <xdr:nvSpPr>
        <xdr:cNvPr id="16" name="TextBox 15"/>
        <xdr:cNvSpPr txBox="1"/>
      </xdr:nvSpPr>
      <xdr:spPr>
        <a:xfrm>
          <a:off x="8410748" y="5108651"/>
          <a:ext cx="1704799" cy="282497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Percentage of the population </a:t>
          </a:r>
        </a:p>
      </xdr:txBody>
    </xdr:sp>
    <xdr:clientData/>
  </xdr:twoCellAnchor>
  <xdr:twoCellAnchor>
    <xdr:from>
      <xdr:col>10</xdr:col>
      <xdr:colOff>228600</xdr:colOff>
      <xdr:row>27</xdr:row>
      <xdr:rowOff>106400</xdr:rowOff>
    </xdr:from>
    <xdr:to>
      <xdr:col>13</xdr:col>
      <xdr:colOff>485948</xdr:colOff>
      <xdr:row>29</xdr:row>
      <xdr:rowOff>171450</xdr:rowOff>
    </xdr:to>
    <xdr:cxnSp macro="">
      <xdr:nvCxnSpPr>
        <xdr:cNvPr id="17" name="Straight Arrow Connector 16"/>
        <xdr:cNvCxnSpPr>
          <a:stCxn id="16" idx="1"/>
        </xdr:cNvCxnSpPr>
      </xdr:nvCxnSpPr>
      <xdr:spPr bwMode="auto">
        <a:xfrm flipH="1">
          <a:off x="6324600" y="5249900"/>
          <a:ext cx="2086148" cy="446050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26</xdr:row>
      <xdr:rowOff>123825</xdr:rowOff>
    </xdr:from>
    <xdr:to>
      <xdr:col>1</xdr:col>
      <xdr:colOff>328612</xdr:colOff>
      <xdr:row>29</xdr:row>
      <xdr:rowOff>19049</xdr:rowOff>
    </xdr:to>
    <xdr:cxnSp macro="">
      <xdr:nvCxnSpPr>
        <xdr:cNvPr id="19" name="Straight Arrow Connector 18"/>
        <xdr:cNvCxnSpPr>
          <a:stCxn id="20" idx="0"/>
        </xdr:cNvCxnSpPr>
      </xdr:nvCxnSpPr>
      <xdr:spPr bwMode="auto">
        <a:xfrm flipH="1" flipV="1">
          <a:off x="933450" y="5076825"/>
          <a:ext cx="4762" cy="466724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323849</xdr:colOff>
      <xdr:row>29</xdr:row>
      <xdr:rowOff>19049</xdr:rowOff>
    </xdr:from>
    <xdr:to>
      <xdr:col>2</xdr:col>
      <xdr:colOff>333374</xdr:colOff>
      <xdr:row>31</xdr:row>
      <xdr:rowOff>9524</xdr:rowOff>
    </xdr:to>
    <xdr:sp macro="" textlink="">
      <xdr:nvSpPr>
        <xdr:cNvPr id="20" name="TextBox 19"/>
        <xdr:cNvSpPr txBox="1"/>
      </xdr:nvSpPr>
      <xdr:spPr>
        <a:xfrm>
          <a:off x="323849" y="5543549"/>
          <a:ext cx="1228725" cy="371475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Selection box for</a:t>
          </a:r>
          <a:r>
            <a:rPr lang="en-GB" sz="800" baseline="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 </a:t>
          </a: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area</a:t>
          </a:r>
          <a:endParaRPr lang="en-GB" sz="800">
            <a:latin typeface="Verdana" pitchFamily="34" charset="0"/>
          </a:endParaRPr>
        </a:p>
        <a:p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0</xdr:col>
      <xdr:colOff>400050</xdr:colOff>
      <xdr:row>55</xdr:row>
      <xdr:rowOff>54096</xdr:rowOff>
    </xdr:from>
    <xdr:to>
      <xdr:col>2</xdr:col>
      <xdr:colOff>239469</xdr:colOff>
      <xdr:row>57</xdr:row>
      <xdr:rowOff>25521</xdr:rowOff>
    </xdr:to>
    <xdr:sp macro="" textlink="">
      <xdr:nvSpPr>
        <xdr:cNvPr id="26" name="TextBox 25"/>
        <xdr:cNvSpPr txBox="1"/>
      </xdr:nvSpPr>
      <xdr:spPr>
        <a:xfrm>
          <a:off x="400050" y="10531596"/>
          <a:ext cx="1058619" cy="352425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Percentage in</a:t>
          </a:r>
          <a:r>
            <a:rPr lang="en-GB" sz="800" baseline="0">
              <a:latin typeface="Verdana" pitchFamily="34" charset="0"/>
              <a:ea typeface="Verdana" pitchFamily="34" charset="0"/>
              <a:cs typeface="Verdana" pitchFamily="34" charset="0"/>
            </a:rPr>
            <a:t> the chosen area</a:t>
          </a:r>
          <a:endParaRPr lang="en-GB" sz="800"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2</xdr:col>
      <xdr:colOff>239469</xdr:colOff>
      <xdr:row>44</xdr:row>
      <xdr:rowOff>142877</xdr:rowOff>
    </xdr:from>
    <xdr:to>
      <xdr:col>4</xdr:col>
      <xdr:colOff>57150</xdr:colOff>
      <xdr:row>56</xdr:row>
      <xdr:rowOff>39809</xdr:rowOff>
    </xdr:to>
    <xdr:cxnSp macro="">
      <xdr:nvCxnSpPr>
        <xdr:cNvPr id="27" name="Straight Arrow Connector 26"/>
        <xdr:cNvCxnSpPr>
          <a:stCxn id="26" idx="3"/>
        </xdr:cNvCxnSpPr>
      </xdr:nvCxnSpPr>
      <xdr:spPr bwMode="auto">
        <a:xfrm flipV="1">
          <a:off x="1458669" y="8524877"/>
          <a:ext cx="1036881" cy="2182932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239469</xdr:colOff>
      <xdr:row>43</xdr:row>
      <xdr:rowOff>152401</xdr:rowOff>
    </xdr:from>
    <xdr:to>
      <xdr:col>2</xdr:col>
      <xdr:colOff>495300</xdr:colOff>
      <xdr:row>56</xdr:row>
      <xdr:rowOff>39809</xdr:rowOff>
    </xdr:to>
    <xdr:cxnSp macro="">
      <xdr:nvCxnSpPr>
        <xdr:cNvPr id="28" name="Straight Arrow Connector 27"/>
        <xdr:cNvCxnSpPr>
          <a:stCxn id="26" idx="3"/>
        </xdr:cNvCxnSpPr>
      </xdr:nvCxnSpPr>
      <xdr:spPr bwMode="auto">
        <a:xfrm flipV="1">
          <a:off x="1458669" y="8343901"/>
          <a:ext cx="255831" cy="2363908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55</xdr:row>
      <xdr:rowOff>54096</xdr:rowOff>
    </xdr:from>
    <xdr:to>
      <xdr:col>5</xdr:col>
      <xdr:colOff>106119</xdr:colOff>
      <xdr:row>57</xdr:row>
      <xdr:rowOff>25521</xdr:rowOff>
    </xdr:to>
    <xdr:sp macro="" textlink="">
      <xdr:nvSpPr>
        <xdr:cNvPr id="32" name="TextBox 31"/>
        <xdr:cNvSpPr txBox="1"/>
      </xdr:nvSpPr>
      <xdr:spPr>
        <a:xfrm>
          <a:off x="2095500" y="10531596"/>
          <a:ext cx="1058619" cy="352425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Percentage in</a:t>
          </a:r>
          <a:r>
            <a:rPr lang="en-GB" sz="800" baseline="0">
              <a:latin typeface="Verdana" pitchFamily="34" charset="0"/>
              <a:ea typeface="Verdana" pitchFamily="34" charset="0"/>
              <a:cs typeface="Verdana" pitchFamily="34" charset="0"/>
            </a:rPr>
            <a:t> Wales</a:t>
          </a:r>
          <a:endParaRPr lang="en-GB" sz="800"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5</xdr:col>
      <xdr:colOff>106119</xdr:colOff>
      <xdr:row>45</xdr:row>
      <xdr:rowOff>85727</xdr:rowOff>
    </xdr:from>
    <xdr:to>
      <xdr:col>6</xdr:col>
      <xdr:colOff>533400</xdr:colOff>
      <xdr:row>56</xdr:row>
      <xdr:rowOff>39809</xdr:rowOff>
    </xdr:to>
    <xdr:cxnSp macro="">
      <xdr:nvCxnSpPr>
        <xdr:cNvPr id="33" name="Straight Arrow Connector 32"/>
        <xdr:cNvCxnSpPr>
          <a:stCxn id="32" idx="3"/>
        </xdr:cNvCxnSpPr>
      </xdr:nvCxnSpPr>
      <xdr:spPr bwMode="auto">
        <a:xfrm flipV="1">
          <a:off x="3154119" y="8658227"/>
          <a:ext cx="1036881" cy="2049582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106119</xdr:colOff>
      <xdr:row>44</xdr:row>
      <xdr:rowOff>95251</xdr:rowOff>
    </xdr:from>
    <xdr:to>
      <xdr:col>5</xdr:col>
      <xdr:colOff>361950</xdr:colOff>
      <xdr:row>56</xdr:row>
      <xdr:rowOff>39809</xdr:rowOff>
    </xdr:to>
    <xdr:cxnSp macro="">
      <xdr:nvCxnSpPr>
        <xdr:cNvPr id="34" name="Straight Arrow Connector 33"/>
        <xdr:cNvCxnSpPr>
          <a:stCxn id="32" idx="3"/>
        </xdr:cNvCxnSpPr>
      </xdr:nvCxnSpPr>
      <xdr:spPr bwMode="auto">
        <a:xfrm flipV="1">
          <a:off x="3154119" y="8477251"/>
          <a:ext cx="255831" cy="2230558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55</xdr:row>
      <xdr:rowOff>63620</xdr:rowOff>
    </xdr:from>
    <xdr:to>
      <xdr:col>9</xdr:col>
      <xdr:colOff>258519</xdr:colOff>
      <xdr:row>57</xdr:row>
      <xdr:rowOff>152400</xdr:rowOff>
    </xdr:to>
    <xdr:sp macro="" textlink="">
      <xdr:nvSpPr>
        <xdr:cNvPr id="40" name="TextBox 39"/>
        <xdr:cNvSpPr txBox="1"/>
      </xdr:nvSpPr>
      <xdr:spPr>
        <a:xfrm>
          <a:off x="4686300" y="10541120"/>
          <a:ext cx="1058619" cy="46978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Count of the population in the chosen area</a:t>
          </a:r>
        </a:p>
      </xdr:txBody>
    </xdr:sp>
    <xdr:clientData/>
  </xdr:twoCellAnchor>
  <xdr:twoCellAnchor>
    <xdr:from>
      <xdr:col>9</xdr:col>
      <xdr:colOff>258519</xdr:colOff>
      <xdr:row>45</xdr:row>
      <xdr:rowOff>95252</xdr:rowOff>
    </xdr:from>
    <xdr:to>
      <xdr:col>11</xdr:col>
      <xdr:colOff>76200</xdr:colOff>
      <xdr:row>56</xdr:row>
      <xdr:rowOff>108010</xdr:rowOff>
    </xdr:to>
    <xdr:cxnSp macro="">
      <xdr:nvCxnSpPr>
        <xdr:cNvPr id="41" name="Straight Arrow Connector 40"/>
        <xdr:cNvCxnSpPr>
          <a:stCxn id="40" idx="3"/>
        </xdr:cNvCxnSpPr>
      </xdr:nvCxnSpPr>
      <xdr:spPr bwMode="auto">
        <a:xfrm flipV="1">
          <a:off x="5744919" y="8667752"/>
          <a:ext cx="1036881" cy="2108258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258519</xdr:colOff>
      <xdr:row>44</xdr:row>
      <xdr:rowOff>104776</xdr:rowOff>
    </xdr:from>
    <xdr:to>
      <xdr:col>9</xdr:col>
      <xdr:colOff>514350</xdr:colOff>
      <xdr:row>56</xdr:row>
      <xdr:rowOff>108010</xdr:rowOff>
    </xdr:to>
    <xdr:cxnSp macro="">
      <xdr:nvCxnSpPr>
        <xdr:cNvPr id="42" name="Straight Arrow Connector 41"/>
        <xdr:cNvCxnSpPr>
          <a:stCxn id="40" idx="3"/>
        </xdr:cNvCxnSpPr>
      </xdr:nvCxnSpPr>
      <xdr:spPr bwMode="auto">
        <a:xfrm flipV="1">
          <a:off x="5744919" y="8486776"/>
          <a:ext cx="255831" cy="2289234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55</xdr:row>
      <xdr:rowOff>63621</xdr:rowOff>
    </xdr:from>
    <xdr:to>
      <xdr:col>12</xdr:col>
      <xdr:colOff>115644</xdr:colOff>
      <xdr:row>57</xdr:row>
      <xdr:rowOff>154221</xdr:rowOff>
    </xdr:to>
    <xdr:sp macro="" textlink="">
      <xdr:nvSpPr>
        <xdr:cNvPr id="45" name="TextBox 44"/>
        <xdr:cNvSpPr txBox="1"/>
      </xdr:nvSpPr>
      <xdr:spPr>
        <a:xfrm>
          <a:off x="6372225" y="10541121"/>
          <a:ext cx="1058619" cy="4716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800">
              <a:latin typeface="Verdana" pitchFamily="34" charset="0"/>
              <a:ea typeface="Verdana" pitchFamily="34" charset="0"/>
              <a:cs typeface="Verdana" pitchFamily="34" charset="0"/>
            </a:rPr>
            <a:t>Count</a:t>
          </a:r>
          <a:r>
            <a:rPr lang="en-GB" sz="800" baseline="0">
              <a:latin typeface="Verdana" pitchFamily="34" charset="0"/>
              <a:ea typeface="Verdana" pitchFamily="34" charset="0"/>
              <a:cs typeface="Verdana" pitchFamily="34" charset="0"/>
            </a:rPr>
            <a:t> of the population in Wales</a:t>
          </a:r>
          <a:endParaRPr lang="en-GB" sz="800"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12</xdr:col>
      <xdr:colOff>115644</xdr:colOff>
      <xdr:row>45</xdr:row>
      <xdr:rowOff>95252</xdr:rowOff>
    </xdr:from>
    <xdr:to>
      <xdr:col>13</xdr:col>
      <xdr:colOff>542925</xdr:colOff>
      <xdr:row>56</xdr:row>
      <xdr:rowOff>108921</xdr:rowOff>
    </xdr:to>
    <xdr:cxnSp macro="">
      <xdr:nvCxnSpPr>
        <xdr:cNvPr id="46" name="Straight Arrow Connector 45"/>
        <xdr:cNvCxnSpPr>
          <a:stCxn id="45" idx="3"/>
        </xdr:cNvCxnSpPr>
      </xdr:nvCxnSpPr>
      <xdr:spPr bwMode="auto">
        <a:xfrm flipV="1">
          <a:off x="7430844" y="8667752"/>
          <a:ext cx="1036881" cy="2109169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115644</xdr:colOff>
      <xdr:row>44</xdr:row>
      <xdr:rowOff>104776</xdr:rowOff>
    </xdr:from>
    <xdr:to>
      <xdr:col>12</xdr:col>
      <xdr:colOff>371475</xdr:colOff>
      <xdr:row>56</xdr:row>
      <xdr:rowOff>108921</xdr:rowOff>
    </xdr:to>
    <xdr:cxnSp macro="">
      <xdr:nvCxnSpPr>
        <xdr:cNvPr id="47" name="Straight Arrow Connector 46"/>
        <xdr:cNvCxnSpPr>
          <a:stCxn id="45" idx="3"/>
        </xdr:cNvCxnSpPr>
      </xdr:nvCxnSpPr>
      <xdr:spPr bwMode="auto">
        <a:xfrm flipV="1">
          <a:off x="7430844" y="8486776"/>
          <a:ext cx="255831" cy="2290145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7</xdr:row>
      <xdr:rowOff>28575</xdr:rowOff>
    </xdr:to>
    <xdr:grpSp>
      <xdr:nvGrpSpPr>
        <xdr:cNvPr id="58" name="Group 57"/>
        <xdr:cNvGrpSpPr/>
      </xdr:nvGrpSpPr>
      <xdr:grpSpPr>
        <a:xfrm>
          <a:off x="0" y="0"/>
          <a:ext cx="14497050" cy="1362075"/>
          <a:chOff x="0" y="0"/>
          <a:chExt cx="14497050" cy="1362075"/>
        </a:xfrm>
      </xdr:grpSpPr>
      <xdr:grpSp>
        <xdr:nvGrpSpPr>
          <xdr:cNvPr id="2" name="Group 1"/>
          <xdr:cNvGrpSpPr/>
        </xdr:nvGrpSpPr>
        <xdr:grpSpPr>
          <a:xfrm>
            <a:off x="0" y="0"/>
            <a:ext cx="14497050" cy="981075"/>
            <a:chOff x="0" y="0"/>
            <a:chExt cx="14497050" cy="981075"/>
          </a:xfrm>
        </xdr:grpSpPr>
        <xdr:pic>
          <xdr:nvPicPr>
            <xdr:cNvPr id="3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/>
            <a:stretch>
              <a:fillRect/>
            </a:stretch>
          </xdr:blipFill>
          <xdr:spPr bwMode="auto">
            <a:xfrm>
              <a:off x="0" y="0"/>
              <a:ext cx="14497050" cy="981075"/>
            </a:xfrm>
            <a:prstGeom prst="rect">
              <a:avLst/>
            </a:prstGeom>
            <a:noFill/>
          </xdr:spPr>
        </xdr:pic>
        <xdr:pic>
          <xdr:nvPicPr>
            <xdr:cNvPr id="4" name="Picture 3" descr="20160322_InteractiveBanner_BP.jpg"/>
            <xdr:cNvPicPr>
              <a:picLocks/>
            </xdr:cNvPicPr>
          </xdr:nvPicPr>
          <xdr:blipFill>
            <a:blip xmlns:r="http://schemas.openxmlformats.org/officeDocument/2006/relationships" r:embed="rId3" cstate="print"/>
            <a:srcRect t="4423" r="77769" b="9583"/>
            <a:stretch>
              <a:fillRect/>
            </a:stretch>
          </xdr:blipFill>
          <xdr:spPr>
            <a:xfrm>
              <a:off x="66675" y="66675"/>
              <a:ext cx="3232741" cy="841321"/>
            </a:xfrm>
            <a:prstGeom prst="rect">
              <a:avLst/>
            </a:prstGeom>
          </xdr:spPr>
        </xdr:pic>
      </xdr:grpSp>
      <xdr:pic>
        <xdr:nvPicPr>
          <xdr:cNvPr id="2150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952500"/>
            <a:ext cx="14497050" cy="409575"/>
          </a:xfrm>
          <a:prstGeom prst="rect">
            <a:avLst/>
          </a:prstGeom>
          <a:noFill/>
        </xdr:spPr>
      </xdr:pic>
      <xdr:grpSp>
        <xdr:nvGrpSpPr>
          <xdr:cNvPr id="53" name="Group 52"/>
          <xdr:cNvGrpSpPr/>
        </xdr:nvGrpSpPr>
        <xdr:grpSpPr>
          <a:xfrm>
            <a:off x="295275" y="1009650"/>
            <a:ext cx="10778550" cy="316800"/>
            <a:chOff x="4638675" y="3771900"/>
            <a:chExt cx="10778550" cy="316800"/>
          </a:xfrm>
          <a:solidFill>
            <a:schemeClr val="tx2">
              <a:lumMod val="20000"/>
              <a:lumOff val="80000"/>
              <a:alpha val="0"/>
            </a:schemeClr>
          </a:solidFill>
        </xdr:grpSpPr>
        <xdr:sp macro="" textlink="">
          <xdr:nvSpPr>
            <xdr:cNvPr id="54" name="Rectangle 53">
              <a:hlinkClick xmlns:r="http://schemas.openxmlformats.org/officeDocument/2006/relationships" r:id="rId5" tooltip="How to copy charts &amp; tables"/>
            </xdr:cNvPr>
            <xdr:cNvSpPr/>
          </xdr:nvSpPr>
          <xdr:spPr>
            <a:xfrm>
              <a:off x="143732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55" name="Rectangle 54">
              <a:hlinkClick xmlns:r="http://schemas.openxmlformats.org/officeDocument/2006/relationships" r:id="rId6" tooltip="Readme"/>
            </xdr:cNvPr>
            <xdr:cNvSpPr/>
          </xdr:nvSpPr>
          <xdr:spPr>
            <a:xfrm>
              <a:off x="463867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56" name="Rectangle 55">
              <a:hlinkClick xmlns:r="http://schemas.openxmlformats.org/officeDocument/2006/relationships" r:id="rId7" tooltip="Population pyramid"/>
            </xdr:cNvPr>
            <xdr:cNvSpPr/>
          </xdr:nvSpPr>
          <xdr:spPr>
            <a:xfrm>
              <a:off x="5724525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57" name="Rectangle 56">
              <a:hlinkClick xmlns:r="http://schemas.openxmlformats.org/officeDocument/2006/relationships" r:id="rId8" tooltip="Interpretation guide"/>
            </xdr:cNvPr>
            <xdr:cNvSpPr/>
          </xdr:nvSpPr>
          <xdr:spPr>
            <a:xfrm>
              <a:off x="13315950" y="3771900"/>
              <a:ext cx="1044000" cy="31680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processing\Housing\02%20Table%20build\H16%20LA%20Subregional%20Dwellings%20in%20Council%20Tax%20Bands%202007-08%20v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ons.gov.uk/peoplepopulationandcommunity/populationandmigration/populationestimates/bulletins/annualmidyearpopulationestimates/mid2015" TargetMode="External"/><Relationship Id="rId1" Type="http://schemas.openxmlformats.org/officeDocument/2006/relationships/hyperlink" Target="mailto:publichealthwalesobservatory@wales.nhs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showGridLines="0" showRowColHeaders="0" zoomScaleNormal="100" workbookViewId="0"/>
  </sheetViews>
  <sheetFormatPr defaultRowHeight="12.75"/>
  <cols>
    <col min="1" max="1" width="20" style="123" customWidth="1"/>
    <col min="2" max="2" width="92.28515625" style="123" customWidth="1"/>
    <col min="3" max="3" width="4.85546875" style="123" customWidth="1"/>
    <col min="4" max="4" width="14.140625" style="123" customWidth="1"/>
    <col min="5" max="16384" width="9.140625" style="123"/>
  </cols>
  <sheetData>
    <row r="1" spans="1:3">
      <c r="A1" s="122"/>
      <c r="B1" s="122"/>
      <c r="C1" s="122"/>
    </row>
    <row r="2" spans="1:3">
      <c r="A2" s="122"/>
      <c r="B2" s="122"/>
      <c r="C2" s="122"/>
    </row>
    <row r="3" spans="1:3">
      <c r="A3" s="122"/>
      <c r="B3" s="122"/>
      <c r="C3" s="122"/>
    </row>
    <row r="4" spans="1:3">
      <c r="A4" s="122"/>
      <c r="B4" s="122"/>
      <c r="C4" s="122"/>
    </row>
    <row r="5" spans="1:3">
      <c r="A5" s="122"/>
      <c r="B5" s="122"/>
      <c r="C5" s="122"/>
    </row>
    <row r="6" spans="1:3">
      <c r="A6" s="122"/>
      <c r="B6" s="122"/>
      <c r="C6" s="122"/>
    </row>
    <row r="7" spans="1:3" ht="7.5" customHeight="1">
      <c r="A7" s="124"/>
      <c r="B7" s="122"/>
      <c r="C7" s="122"/>
    </row>
    <row r="8" spans="1:3" ht="7.5" customHeight="1">
      <c r="A8" s="125"/>
      <c r="B8" s="122"/>
      <c r="C8" s="122"/>
    </row>
    <row r="9" spans="1:3" ht="7.5" customHeight="1">
      <c r="A9" s="125"/>
      <c r="B9" s="122"/>
      <c r="C9" s="122"/>
    </row>
    <row r="10" spans="1:3" ht="7.5" customHeight="1">
      <c r="A10" s="125"/>
      <c r="B10" s="122"/>
      <c r="C10" s="122"/>
    </row>
    <row r="11" spans="1:3" ht="7.5" customHeight="1">
      <c r="A11" s="125"/>
      <c r="B11" s="122"/>
      <c r="C11" s="122"/>
    </row>
    <row r="12" spans="1:3" ht="7.5" customHeight="1">
      <c r="A12" s="125"/>
      <c r="B12" s="122"/>
      <c r="C12" s="122"/>
    </row>
    <row r="13" spans="1:3" ht="7.5" customHeight="1">
      <c r="A13" s="125"/>
      <c r="B13" s="122"/>
      <c r="C13" s="122"/>
    </row>
    <row r="14" spans="1:3" ht="14.1" customHeight="1">
      <c r="A14" s="126" t="s">
        <v>238</v>
      </c>
      <c r="B14" s="127" t="s">
        <v>250</v>
      </c>
      <c r="C14" s="128"/>
    </row>
    <row r="15" spans="1:3" ht="14.1" customHeight="1">
      <c r="A15" s="129" t="s">
        <v>239</v>
      </c>
      <c r="B15" s="127" t="s">
        <v>251</v>
      </c>
      <c r="C15" s="130"/>
    </row>
    <row r="16" spans="1:3" ht="14.1" customHeight="1">
      <c r="A16" s="131" t="s">
        <v>240</v>
      </c>
      <c r="B16" s="127" t="s">
        <v>252</v>
      </c>
      <c r="C16" s="132"/>
    </row>
    <row r="17" spans="1:18" ht="14.1" customHeight="1">
      <c r="A17" s="129" t="s">
        <v>241</v>
      </c>
      <c r="B17" s="127" t="s">
        <v>199</v>
      </c>
      <c r="C17" s="130"/>
    </row>
    <row r="18" spans="1:18" ht="14.1" customHeight="1">
      <c r="A18" s="129" t="s">
        <v>242</v>
      </c>
      <c r="B18" s="133">
        <v>2015</v>
      </c>
      <c r="C18" s="134"/>
    </row>
    <row r="19" spans="1:18" ht="14.1" customHeight="1">
      <c r="A19" s="129" t="s">
        <v>243</v>
      </c>
      <c r="B19" s="127" t="s">
        <v>253</v>
      </c>
      <c r="C19" s="130"/>
    </row>
    <row r="20" spans="1:18" ht="14.1" customHeight="1">
      <c r="A20" s="129" t="s">
        <v>244</v>
      </c>
      <c r="B20" s="127" t="s">
        <v>254</v>
      </c>
      <c r="C20" s="135"/>
    </row>
    <row r="21" spans="1:18" ht="14.1" customHeight="1">
      <c r="A21" s="129" t="s">
        <v>245</v>
      </c>
      <c r="B21" s="136" t="s">
        <v>258</v>
      </c>
      <c r="C21" s="137"/>
    </row>
    <row r="22" spans="1:18" ht="14.1" customHeight="1">
      <c r="A22" s="131" t="s">
        <v>246</v>
      </c>
      <c r="B22" s="127" t="s">
        <v>256</v>
      </c>
      <c r="C22" s="135"/>
    </row>
    <row r="23" spans="1:18" ht="28.5" customHeight="1">
      <c r="A23" s="131"/>
      <c r="B23" s="136" t="s">
        <v>255</v>
      </c>
      <c r="C23" s="135"/>
    </row>
    <row r="24" spans="1:18" ht="7.5" customHeight="1">
      <c r="A24" s="138"/>
      <c r="B24" s="138"/>
      <c r="C24" s="138"/>
    </row>
    <row r="25" spans="1:18" ht="15" customHeight="1">
      <c r="A25" s="138"/>
      <c r="B25" s="138"/>
      <c r="C25" s="138"/>
    </row>
    <row r="26" spans="1:18" s="78" customFormat="1" ht="15" customHeight="1">
      <c r="A26" s="139" t="s">
        <v>247</v>
      </c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</row>
    <row r="27" spans="1:18" s="78" customFormat="1" ht="3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</row>
    <row r="28" spans="1:18" s="78" customFormat="1" ht="23.25" customHeight="1">
      <c r="A28" s="153" t="s">
        <v>248</v>
      </c>
      <c r="B28" s="153"/>
      <c r="C28" s="140"/>
      <c r="D28" s="140"/>
      <c r="E28" s="140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</row>
    <row r="29" spans="1:18" s="78" customFormat="1" ht="3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</row>
    <row r="30" spans="1:18" s="78" customFormat="1">
      <c r="A30" s="139" t="s">
        <v>249</v>
      </c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s="78" customFormat="1" ht="17.25" customHeight="1">
      <c r="A31" s="139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</row>
  </sheetData>
  <sheetProtection password="C3EC" sheet="1" objects="1" scenarios="1"/>
  <mergeCells count="1">
    <mergeCell ref="A28:B28"/>
  </mergeCells>
  <hyperlinks>
    <hyperlink ref="B21" r:id="rId1"/>
    <hyperlink ref="B23" r:id="rId2"/>
  </hyperlinks>
  <pageMargins left="0.11811023622047245" right="0.11811023622047245" top="0.74803149606299213" bottom="0.74803149606299213" header="0.31496062992125984" footer="0.31496062992125984"/>
  <pageSetup paperSize="9" scale="9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U67"/>
  <sheetViews>
    <sheetView showGridLines="0" showRowColHeaders="0" tabSelected="1" topLeftCell="A10" zoomScaleNormal="100" workbookViewId="0"/>
  </sheetViews>
  <sheetFormatPr defaultColWidth="9.140625" defaultRowHeight="12.75"/>
  <cols>
    <col min="1" max="1" width="3.5703125" style="78" bestFit="1" customWidth="1"/>
    <col min="2" max="2" width="11.7109375" style="78" customWidth="1"/>
    <col min="3" max="3" width="2.28515625" style="78" customWidth="1"/>
    <col min="4" max="5" width="11.7109375" style="78" customWidth="1"/>
    <col min="6" max="6" width="2.28515625" style="78" customWidth="1"/>
    <col min="7" max="8" width="11.7109375" style="78" customWidth="1"/>
    <col min="9" max="9" width="5.7109375" style="78" customWidth="1"/>
    <col min="10" max="10" width="11.7109375" style="78" customWidth="1"/>
    <col min="11" max="11" width="2.28515625" style="78" customWidth="1"/>
    <col min="12" max="13" width="11.7109375" style="78" customWidth="1"/>
    <col min="14" max="14" width="2.28515625" style="78" customWidth="1"/>
    <col min="15" max="16" width="11.7109375" style="78" customWidth="1"/>
    <col min="17" max="17" width="11.28515625" style="78" customWidth="1"/>
    <col min="18" max="22" width="9.140625" style="78"/>
    <col min="23" max="23" width="6.42578125" style="78" customWidth="1"/>
    <col min="24" max="16384" width="9.140625" style="78"/>
  </cols>
  <sheetData>
    <row r="1" spans="1:36" s="77" customFormat="1" ht="15" customHeight="1">
      <c r="A1" s="76"/>
    </row>
    <row r="2" spans="1:36" s="77" customFormat="1" ht="15" customHeight="1"/>
    <row r="3" spans="1:36" s="77" customFormat="1" ht="15" customHeight="1"/>
    <row r="4" spans="1:36" s="77" customFormat="1" ht="15" customHeight="1"/>
    <row r="5" spans="1:36" s="77" customFormat="1" ht="15" customHeight="1"/>
    <row r="6" spans="1:36" s="77" customFormat="1" ht="15" customHeight="1"/>
    <row r="7" spans="1:36" s="77" customFormat="1" ht="15" customHeight="1"/>
    <row r="8" spans="1:36" s="77" customFormat="1" ht="10.5" customHeight="1"/>
    <row r="9" spans="1:36" ht="10.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</row>
    <row r="10" spans="1:36" ht="13.15" customHeight="1">
      <c r="G10" s="79"/>
      <c r="H10" s="79"/>
      <c r="I10" s="79"/>
      <c r="J10" s="79"/>
      <c r="K10" s="79"/>
      <c r="L10" s="79"/>
      <c r="M10" s="79"/>
      <c r="N10" s="79"/>
      <c r="O10" s="79"/>
      <c r="P10" s="75"/>
      <c r="R10" s="80"/>
    </row>
    <row r="11" spans="1:36" ht="16.5" customHeight="1">
      <c r="G11" s="79"/>
      <c r="H11" s="79"/>
      <c r="I11" s="79"/>
      <c r="J11" s="79"/>
      <c r="K11" s="79"/>
      <c r="L11" s="79"/>
      <c r="M11" s="79"/>
      <c r="N11" s="79"/>
      <c r="O11" s="79"/>
      <c r="P11" s="79"/>
      <c r="R11" s="80"/>
    </row>
    <row r="12" spans="1:36" ht="13.15" customHeight="1">
      <c r="G12" s="79"/>
      <c r="H12" s="79"/>
      <c r="I12" s="79"/>
      <c r="J12" s="79"/>
      <c r="K12" s="79"/>
      <c r="L12" s="79"/>
      <c r="M12" s="79"/>
      <c r="N12" s="79"/>
      <c r="O12" s="79"/>
      <c r="P12" s="79"/>
      <c r="R12" s="80"/>
    </row>
    <row r="13" spans="1:36" ht="13.15" customHeight="1">
      <c r="B13" s="157"/>
      <c r="C13" s="157"/>
      <c r="D13" s="157"/>
      <c r="E13" s="157"/>
      <c r="H13" s="81"/>
      <c r="T13" s="82"/>
    </row>
    <row r="14" spans="1:36">
      <c r="B14" s="77"/>
      <c r="C14" s="77"/>
      <c r="D14" s="77"/>
      <c r="E14" s="77"/>
    </row>
    <row r="15" spans="1:36" ht="12.75" customHeight="1">
      <c r="B15" s="77"/>
      <c r="C15" s="77"/>
      <c r="D15" s="77"/>
      <c r="E15" s="77"/>
    </row>
    <row r="16" spans="1:36" ht="3" customHeight="1">
      <c r="B16" s="77"/>
      <c r="C16" s="77"/>
      <c r="D16" s="77"/>
      <c r="E16" s="77"/>
    </row>
    <row r="17" spans="2:25" ht="12.75" customHeight="1">
      <c r="B17" s="77"/>
      <c r="C17" s="77"/>
      <c r="D17" s="77"/>
      <c r="E17" s="77"/>
    </row>
    <row r="18" spans="2:25" ht="16.5" customHeight="1">
      <c r="B18" s="77"/>
      <c r="C18" s="77"/>
      <c r="D18" s="77"/>
      <c r="E18" s="77"/>
    </row>
    <row r="19" spans="2:25" ht="13.15" customHeight="1">
      <c r="B19" s="77"/>
      <c r="C19" s="77"/>
      <c r="D19" s="77"/>
      <c r="E19" s="77"/>
    </row>
    <row r="20" spans="2:25">
      <c r="B20" s="77"/>
      <c r="C20" s="77"/>
      <c r="D20" s="77"/>
      <c r="E20" s="77"/>
    </row>
    <row r="21" spans="2:25">
      <c r="B21" s="77"/>
      <c r="C21" s="77"/>
      <c r="D21" s="77"/>
      <c r="E21" s="77"/>
    </row>
    <row r="22" spans="2:25">
      <c r="B22" s="77"/>
      <c r="C22" s="77"/>
      <c r="D22" s="77"/>
      <c r="E22" s="77"/>
    </row>
    <row r="23" spans="2:25">
      <c r="B23" s="77"/>
      <c r="C23" s="77"/>
      <c r="D23" s="77"/>
      <c r="E23" s="77"/>
    </row>
    <row r="24" spans="2:25">
      <c r="B24" s="77"/>
      <c r="C24" s="77"/>
      <c r="D24" s="77"/>
      <c r="E24" s="77"/>
    </row>
    <row r="25" spans="2:25">
      <c r="B25" s="77"/>
      <c r="C25" s="77"/>
      <c r="D25" s="77"/>
      <c r="E25" s="77"/>
    </row>
    <row r="26" spans="2:25">
      <c r="B26" s="77"/>
      <c r="C26" s="77"/>
      <c r="D26" s="77"/>
      <c r="E26" s="77"/>
      <c r="Y26" s="78" t="s">
        <v>213</v>
      </c>
    </row>
    <row r="27" spans="2:25">
      <c r="B27" s="77"/>
      <c r="C27" s="77"/>
      <c r="D27" s="77"/>
      <c r="E27" s="77"/>
    </row>
    <row r="28" spans="2:25">
      <c r="B28" s="77"/>
      <c r="C28" s="77"/>
      <c r="D28" s="77"/>
      <c r="E28" s="77"/>
    </row>
    <row r="29" spans="2:25">
      <c r="B29" s="77"/>
      <c r="C29" s="77"/>
      <c r="D29" s="77"/>
      <c r="E29" s="77"/>
    </row>
    <row r="30" spans="2:25">
      <c r="B30" s="77"/>
      <c r="C30" s="77"/>
      <c r="D30" s="77"/>
      <c r="E30" s="77"/>
    </row>
    <row r="31" spans="2:25">
      <c r="B31" s="77"/>
      <c r="C31" s="77"/>
      <c r="D31" s="77"/>
      <c r="E31" s="77"/>
    </row>
    <row r="32" spans="2:25">
      <c r="B32" s="77"/>
      <c r="C32" s="77"/>
      <c r="D32" s="77"/>
      <c r="E32" s="77"/>
    </row>
    <row r="33" spans="2:32 16372:16375">
      <c r="B33" s="77"/>
      <c r="C33" s="77"/>
      <c r="D33" s="77"/>
      <c r="E33" s="77"/>
    </row>
    <row r="34" spans="2:32 16372:16375">
      <c r="B34" s="77"/>
      <c r="C34" s="77"/>
      <c r="D34" s="77"/>
      <c r="E34" s="77"/>
    </row>
    <row r="35" spans="2:32 16372:16375" ht="4.5" customHeight="1">
      <c r="B35" s="77"/>
      <c r="C35" s="77"/>
      <c r="D35" s="77"/>
      <c r="E35" s="77"/>
    </row>
    <row r="37" spans="2:32 16372:16375" ht="4.5" customHeight="1"/>
    <row r="38" spans="2:32 16372:16375" ht="24.75" customHeight="1">
      <c r="B38" s="158" t="str">
        <f>'ALL CONTROLS'!E12</f>
        <v>Percentage of population by age and sex, Monmouthshire and Wales, 2015</v>
      </c>
      <c r="C38" s="158"/>
      <c r="D38" s="158"/>
      <c r="E38" s="158"/>
      <c r="F38" s="158"/>
      <c r="G38" s="158"/>
      <c r="H38" s="158"/>
      <c r="J38" s="158" t="str">
        <f>'ALL CONTROLS'!E13</f>
        <v>Count of population by age and sex, Monmouthshire and Wales, 2015</v>
      </c>
      <c r="K38" s="158"/>
      <c r="L38" s="158"/>
      <c r="M38" s="158"/>
      <c r="N38" s="158"/>
      <c r="O38" s="158"/>
      <c r="P38" s="158"/>
    </row>
    <row r="39" spans="2:32 16372:16375" ht="3.75" customHeight="1"/>
    <row r="40" spans="2:32 16372:16375" ht="18.75" customHeight="1">
      <c r="B40" s="83"/>
      <c r="D40" s="159" t="str">
        <f>'ALL CONTROLS'!C35</f>
        <v>Monmouthshire</v>
      </c>
      <c r="E40" s="159"/>
      <c r="F40" s="84"/>
      <c r="G40" s="159" t="s">
        <v>19</v>
      </c>
      <c r="H40" s="159"/>
      <c r="J40" s="83"/>
      <c r="L40" s="159" t="str">
        <f>'ALL CONTROLS'!C35</f>
        <v>Monmouthshire</v>
      </c>
      <c r="M40" s="159"/>
      <c r="N40" s="84"/>
      <c r="O40" s="159" t="s">
        <v>19</v>
      </c>
      <c r="P40" s="159"/>
      <c r="R40" s="85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</row>
    <row r="41" spans="2:32 16372:16375" ht="3.75" customHeight="1">
      <c r="B41" s="83"/>
      <c r="C41" s="87"/>
      <c r="D41" s="88"/>
      <c r="E41" s="87"/>
      <c r="F41" s="87"/>
      <c r="G41" s="87"/>
      <c r="H41" s="89"/>
      <c r="J41" s="83"/>
      <c r="K41" s="87"/>
      <c r="L41" s="87"/>
      <c r="M41" s="89"/>
      <c r="N41" s="87"/>
      <c r="O41" s="87"/>
      <c r="P41" s="89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</row>
    <row r="42" spans="2:32 16372:16375">
      <c r="B42" s="87" t="s">
        <v>89</v>
      </c>
      <c r="C42" s="90"/>
      <c r="D42" s="91" t="s">
        <v>90</v>
      </c>
      <c r="E42" s="91" t="s">
        <v>91</v>
      </c>
      <c r="F42" s="87"/>
      <c r="G42" s="91" t="s">
        <v>90</v>
      </c>
      <c r="H42" s="91" t="s">
        <v>91</v>
      </c>
      <c r="J42" s="87" t="s">
        <v>89</v>
      </c>
      <c r="K42" s="87"/>
      <c r="L42" s="91" t="s">
        <v>82</v>
      </c>
      <c r="M42" s="91" t="s">
        <v>83</v>
      </c>
      <c r="N42" s="91"/>
      <c r="O42" s="91" t="s">
        <v>82</v>
      </c>
      <c r="P42" s="91" t="s">
        <v>83</v>
      </c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XER42" s="92"/>
      <c r="XEU42" s="92"/>
    </row>
    <row r="43" spans="2:32 16372:16375">
      <c r="B43" s="93" t="str">
        <f>'ALL CONTROLS'!B63</f>
        <v>00-04</v>
      </c>
      <c r="C43" s="94"/>
      <c r="D43" s="95">
        <f>'ALL CONTROLS'!H40</f>
        <v>2.4254941822743197</v>
      </c>
      <c r="E43" s="95">
        <f>'ALL CONTROLS'!I40</f>
        <v>2.2827544443963839</v>
      </c>
      <c r="F43" s="96"/>
      <c r="G43" s="95">
        <f>'ALL CONTROLS'!N40</f>
        <v>2.9065989133570351</v>
      </c>
      <c r="H43" s="95">
        <f>'ALL CONTROLS'!O40</f>
        <v>2.7699779870581196</v>
      </c>
      <c r="J43" s="93" t="str">
        <f>'ALL CONTROLS'!B63</f>
        <v>00-04</v>
      </c>
      <c r="K43" s="96"/>
      <c r="L43" s="97">
        <f>ROUND('ALL CONTROLS'!E40,-2)</f>
        <v>2200</v>
      </c>
      <c r="M43" s="97">
        <f>ROUND('ALL CONTROLS'!F40,-2)</f>
        <v>2100</v>
      </c>
      <c r="N43" s="98"/>
      <c r="O43" s="97">
        <f>ROUND('ALL CONTROLS'!K40,-2)</f>
        <v>90100</v>
      </c>
      <c r="P43" s="97">
        <f>ROUND('ALL CONTROLS'!L40,-2)</f>
        <v>85800</v>
      </c>
      <c r="R43" s="121"/>
      <c r="S43" s="121"/>
      <c r="T43" s="121"/>
      <c r="U43" s="121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</row>
    <row r="44" spans="2:32 16372:16375">
      <c r="B44" s="93" t="str">
        <f>'ALL CONTROLS'!B64</f>
        <v>05-09</v>
      </c>
      <c r="C44" s="94"/>
      <c r="D44" s="95">
        <f>'ALL CONTROLS'!H41</f>
        <v>2.6774514468618884</v>
      </c>
      <c r="E44" s="95">
        <f>'ALL CONTROLS'!I41</f>
        <v>2.6460919589947665</v>
      </c>
      <c r="F44" s="96"/>
      <c r="G44" s="95">
        <f>'ALL CONTROLS'!N41</f>
        <v>2.9736509409548493</v>
      </c>
      <c r="H44" s="95">
        <f>'ALL CONTROLS'!O41</f>
        <v>2.8281564306379363</v>
      </c>
      <c r="J44" s="93" t="str">
        <f>'ALL CONTROLS'!B64</f>
        <v>05-09</v>
      </c>
      <c r="K44" s="96"/>
      <c r="L44" s="97">
        <f>ROUND('ALL CONTROLS'!E41,-2)</f>
        <v>2500</v>
      </c>
      <c r="M44" s="97">
        <f>ROUND('ALL CONTROLS'!F41,-2)</f>
        <v>2400</v>
      </c>
      <c r="N44" s="98"/>
      <c r="O44" s="97">
        <f>ROUND('ALL CONTROLS'!K41,-2)</f>
        <v>92200</v>
      </c>
      <c r="P44" s="97">
        <f>ROUND('ALL CONTROLS'!L41,-2)</f>
        <v>87600</v>
      </c>
      <c r="R44" s="121"/>
      <c r="S44" s="121"/>
      <c r="T44" s="121"/>
      <c r="U44" s="121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</row>
    <row r="45" spans="2:32 16372:16375">
      <c r="B45" s="93" t="str">
        <f>'ALL CONTROLS'!B65</f>
        <v>10-14</v>
      </c>
      <c r="C45" s="94"/>
      <c r="D45" s="95">
        <f>'ALL CONTROLS'!H42</f>
        <v>2.8753406289199361</v>
      </c>
      <c r="E45" s="95">
        <f>'ALL CONTROLS'!I42</f>
        <v>2.645010597344176</v>
      </c>
      <c r="F45" s="96"/>
      <c r="G45" s="95">
        <f>'ALL CONTROLS'!N42</f>
        <v>2.7348385943468494</v>
      </c>
      <c r="H45" s="95">
        <f>'ALL CONTROLS'!O42</f>
        <v>2.587795240274068</v>
      </c>
      <c r="J45" s="93" t="str">
        <f>'ALL CONTROLS'!B65</f>
        <v>10-14</v>
      </c>
      <c r="K45" s="96"/>
      <c r="L45" s="97">
        <f>ROUND('ALL CONTROLS'!E42,-2)</f>
        <v>2700</v>
      </c>
      <c r="M45" s="97">
        <f>ROUND('ALL CONTROLS'!F42,-2)</f>
        <v>2400</v>
      </c>
      <c r="N45" s="98"/>
      <c r="O45" s="97">
        <f>ROUND('ALL CONTROLS'!K42,-2)</f>
        <v>84800</v>
      </c>
      <c r="P45" s="97">
        <f>ROUND('ALL CONTROLS'!L42,-2)</f>
        <v>80200</v>
      </c>
      <c r="R45" s="121"/>
      <c r="S45" s="121"/>
      <c r="T45" s="121"/>
      <c r="U45" s="121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</row>
    <row r="46" spans="2:32 16372:16375">
      <c r="B46" s="93" t="str">
        <f>'ALL CONTROLS'!B66</f>
        <v>15-19</v>
      </c>
      <c r="C46" s="94"/>
      <c r="D46" s="95">
        <f>'ALL CONTROLS'!H43</f>
        <v>3.0559280245685367</v>
      </c>
      <c r="E46" s="95">
        <f>'ALL CONTROLS'!I43</f>
        <v>2.8526320342575371</v>
      </c>
      <c r="F46" s="96"/>
      <c r="G46" s="95">
        <f>'ALL CONTROLS'!N43</f>
        <v>3.0927505722655004</v>
      </c>
      <c r="H46" s="95">
        <f>'ALL CONTROLS'!O43</f>
        <v>2.9087285735213544</v>
      </c>
      <c r="J46" s="93" t="str">
        <f>'ALL CONTROLS'!B66</f>
        <v>15-19</v>
      </c>
      <c r="K46" s="96"/>
      <c r="L46" s="97">
        <f>ROUND('ALL CONTROLS'!E43,-2)</f>
        <v>2800</v>
      </c>
      <c r="M46" s="97">
        <f>ROUND('ALL CONTROLS'!F43,-2)</f>
        <v>2600</v>
      </c>
      <c r="N46" s="98"/>
      <c r="O46" s="97">
        <f>ROUND('ALL CONTROLS'!K43,-2)</f>
        <v>95800</v>
      </c>
      <c r="P46" s="97">
        <f>ROUND('ALL CONTROLS'!L43,-2)</f>
        <v>90100</v>
      </c>
      <c r="R46" s="121"/>
      <c r="S46" s="121"/>
      <c r="T46" s="121"/>
      <c r="U46" s="121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</row>
    <row r="47" spans="2:32 16372:16375">
      <c r="B47" s="93" t="str">
        <f>'ALL CONTROLS'!B67</f>
        <v>20-24</v>
      </c>
      <c r="C47" s="94"/>
      <c r="D47" s="95">
        <f>'ALL CONTROLS'!H44</f>
        <v>2.6212206410311865</v>
      </c>
      <c r="E47" s="95">
        <f>'ALL CONTROLS'!I44</f>
        <v>2.1670487477832086</v>
      </c>
      <c r="F47" s="96"/>
      <c r="G47" s="95">
        <f>'ALL CONTROLS'!N44</f>
        <v>3.569084562351609</v>
      </c>
      <c r="H47" s="95">
        <f>'ALL CONTROLS'!O44</f>
        <v>3.3430824443077731</v>
      </c>
      <c r="J47" s="93" t="str">
        <f>'ALL CONTROLS'!B67</f>
        <v>20-24</v>
      </c>
      <c r="K47" s="96"/>
      <c r="L47" s="97">
        <f>ROUND('ALL CONTROLS'!E44,-2)</f>
        <v>2400</v>
      </c>
      <c r="M47" s="97">
        <f>ROUND('ALL CONTROLS'!F44,-2)</f>
        <v>2000</v>
      </c>
      <c r="N47" s="98"/>
      <c r="O47" s="97">
        <f>ROUND('ALL CONTROLS'!K44,-2)</f>
        <v>110600</v>
      </c>
      <c r="P47" s="97">
        <f>ROUND('ALL CONTROLS'!L44,-2)</f>
        <v>103600</v>
      </c>
      <c r="R47" s="121"/>
      <c r="S47" s="121"/>
      <c r="T47" s="121"/>
      <c r="U47" s="121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</row>
    <row r="48" spans="2:32 16372:16375">
      <c r="B48" s="93" t="str">
        <f>'ALL CONTROLS'!B68</f>
        <v>25-29</v>
      </c>
      <c r="C48" s="94"/>
      <c r="D48" s="95">
        <f>'ALL CONTROLS'!H45</f>
        <v>2.459016393442623</v>
      </c>
      <c r="E48" s="95">
        <f>'ALL CONTROLS'!I45</f>
        <v>2.1767810026385224</v>
      </c>
      <c r="F48" s="96"/>
      <c r="G48" s="95">
        <f>'ALL CONTROLS'!N45</f>
        <v>3.204751336361753</v>
      </c>
      <c r="H48" s="95">
        <f>'ALL CONTROLS'!O45</f>
        <v>3.0892011386583014</v>
      </c>
      <c r="J48" s="93" t="str">
        <f>'ALL CONTROLS'!B68</f>
        <v>25-29</v>
      </c>
      <c r="K48" s="96"/>
      <c r="L48" s="97">
        <f>ROUND('ALL CONTROLS'!E45,-2)</f>
        <v>2300</v>
      </c>
      <c r="M48" s="97">
        <f>ROUND('ALL CONTROLS'!F45,-2)</f>
        <v>2000</v>
      </c>
      <c r="N48" s="98"/>
      <c r="O48" s="97">
        <f>ROUND('ALL CONTROLS'!K45,-2)</f>
        <v>99300</v>
      </c>
      <c r="P48" s="97">
        <f>ROUND('ALL CONTROLS'!L45,-2)</f>
        <v>95700</v>
      </c>
      <c r="R48" s="121"/>
      <c r="S48" s="121"/>
      <c r="T48" s="121"/>
      <c r="U48" s="121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</row>
    <row r="49" spans="2:32">
      <c r="B49" s="93" t="str">
        <f>'ALL CONTROLS'!B69</f>
        <v>30-34</v>
      </c>
      <c r="C49" s="94"/>
      <c r="D49" s="95">
        <f>'ALL CONTROLS'!H46</f>
        <v>2.1324451749643152</v>
      </c>
      <c r="E49" s="95">
        <f>'ALL CONTROLS'!I46</f>
        <v>2.199489597300921</v>
      </c>
      <c r="F49" s="96"/>
      <c r="G49" s="95">
        <f>'ALL CONTROLS'!N46</f>
        <v>2.9270565579658006</v>
      </c>
      <c r="H49" s="95">
        <f>'ALL CONTROLS'!O46</f>
        <v>2.9445133177975698</v>
      </c>
      <c r="J49" s="93" t="str">
        <f>'ALL CONTROLS'!B69</f>
        <v>30-34</v>
      </c>
      <c r="K49" s="96"/>
      <c r="L49" s="97">
        <f>ROUND('ALL CONTROLS'!E46,-2)</f>
        <v>2000</v>
      </c>
      <c r="M49" s="97">
        <f>ROUND('ALL CONTROLS'!F46,-2)</f>
        <v>2000</v>
      </c>
      <c r="N49" s="98"/>
      <c r="O49" s="97">
        <f>ROUND('ALL CONTROLS'!K46,-2)</f>
        <v>90700</v>
      </c>
      <c r="P49" s="97">
        <f>ROUND('ALL CONTROLS'!L46,-2)</f>
        <v>91300</v>
      </c>
      <c r="R49" s="121"/>
      <c r="S49" s="121"/>
      <c r="T49" s="121"/>
      <c r="U49" s="121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</row>
    <row r="50" spans="2:32">
      <c r="B50" s="93" t="str">
        <f>'ALL CONTROLS'!B70</f>
        <v>35-39</v>
      </c>
      <c r="C50" s="94"/>
      <c r="D50" s="95">
        <f>'ALL CONTROLS'!H47</f>
        <v>2.2427440633245381</v>
      </c>
      <c r="E50" s="95">
        <f>'ALL CONTROLS'!I47</f>
        <v>2.513084475972144</v>
      </c>
      <c r="F50" s="96"/>
      <c r="G50" s="95">
        <f>'ALL CONTROLS'!N47</f>
        <v>2.7326443990260354</v>
      </c>
      <c r="H50" s="95">
        <f>'ALL CONTROLS'!O47</f>
        <v>2.7746245183257257</v>
      </c>
      <c r="J50" s="93" t="str">
        <f>'ALL CONTROLS'!B70</f>
        <v>35-39</v>
      </c>
      <c r="K50" s="96"/>
      <c r="L50" s="97">
        <f>ROUND('ALL CONTROLS'!E47,-2)</f>
        <v>2100</v>
      </c>
      <c r="M50" s="97">
        <f>ROUND('ALL CONTROLS'!F47,-2)</f>
        <v>2300</v>
      </c>
      <c r="N50" s="98"/>
      <c r="O50" s="97">
        <f>ROUND('ALL CONTROLS'!K47,-2)</f>
        <v>84700</v>
      </c>
      <c r="P50" s="97">
        <f>ROUND('ALL CONTROLS'!L47,-2)</f>
        <v>86000</v>
      </c>
      <c r="R50" s="121"/>
      <c r="S50" s="121"/>
      <c r="T50" s="121"/>
      <c r="U50" s="121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</row>
    <row r="51" spans="2:32">
      <c r="B51" s="93" t="str">
        <f>'ALL CONTROLS'!B71</f>
        <v>40-44</v>
      </c>
      <c r="C51" s="94"/>
      <c r="D51" s="95">
        <f>'ALL CONTROLS'!H48</f>
        <v>2.908862840088239</v>
      </c>
      <c r="E51" s="95">
        <f>'ALL CONTROLS'!I48</f>
        <v>3.2343526969159564</v>
      </c>
      <c r="F51" s="96"/>
      <c r="G51" s="95">
        <f>'ALL CONTROLS'!N48</f>
        <v>3.0032403102075902</v>
      </c>
      <c r="H51" s="95">
        <f>'ALL CONTROLS'!O48</f>
        <v>3.1237919825393679</v>
      </c>
      <c r="J51" s="93" t="str">
        <f>'ALL CONTROLS'!B71</f>
        <v>40-44</v>
      </c>
      <c r="K51" s="96"/>
      <c r="L51" s="97">
        <f>ROUND('ALL CONTROLS'!E48,-2)</f>
        <v>2700</v>
      </c>
      <c r="M51" s="97">
        <f>ROUND('ALL CONTROLS'!F48,-2)</f>
        <v>3000</v>
      </c>
      <c r="N51" s="98"/>
      <c r="O51" s="97">
        <f>ROUND('ALL CONTROLS'!K48,-2)</f>
        <v>93100</v>
      </c>
      <c r="P51" s="97">
        <f>ROUND('ALL CONTROLS'!L48,-2)</f>
        <v>96800</v>
      </c>
      <c r="R51" s="121"/>
      <c r="S51" s="121"/>
      <c r="T51" s="121"/>
      <c r="U51" s="121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</row>
    <row r="52" spans="2:32">
      <c r="B52" s="93" t="str">
        <f>'ALL CONTROLS'!B72</f>
        <v>45-49</v>
      </c>
      <c r="C52" s="94"/>
      <c r="D52" s="95">
        <f>'ALL CONTROLS'!H49</f>
        <v>3.914529175137333</v>
      </c>
      <c r="E52" s="95">
        <f>'ALL CONTROLS'!I49</f>
        <v>4.0107703620398807</v>
      </c>
      <c r="F52" s="96"/>
      <c r="G52" s="95">
        <f>'ALL CONTROLS'!N49</f>
        <v>3.3767052608414221</v>
      </c>
      <c r="H52" s="95">
        <f>'ALL CONTROLS'!O49</f>
        <v>3.5317509743195252</v>
      </c>
      <c r="J52" s="93" t="str">
        <f>'ALL CONTROLS'!B72</f>
        <v>45-49</v>
      </c>
      <c r="K52" s="96"/>
      <c r="L52" s="97">
        <f>ROUND('ALL CONTROLS'!E49,-2)</f>
        <v>3600</v>
      </c>
      <c r="M52" s="97">
        <f>ROUND('ALL CONTROLS'!F49,-2)</f>
        <v>3700</v>
      </c>
      <c r="N52" s="98"/>
      <c r="O52" s="97">
        <f>ROUND('ALL CONTROLS'!K49,-2)</f>
        <v>104600</v>
      </c>
      <c r="P52" s="97">
        <f>ROUND('ALL CONTROLS'!L49,-2)</f>
        <v>109500</v>
      </c>
      <c r="R52" s="121"/>
      <c r="S52" s="121"/>
      <c r="T52" s="121"/>
      <c r="U52" s="121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</row>
    <row r="53" spans="2:32">
      <c r="B53" s="93" t="str">
        <f>'ALL CONTROLS'!B73</f>
        <v>50-54</v>
      </c>
      <c r="C53" s="94"/>
      <c r="D53" s="95">
        <f>'ALL CONTROLS'!H50</f>
        <v>4.101604740689476</v>
      </c>
      <c r="E53" s="95">
        <f>'ALL CONTROLS'!I50</f>
        <v>4.2400190319650504</v>
      </c>
      <c r="F53" s="96"/>
      <c r="G53" s="95">
        <f>'ALL CONTROLS'!N50</f>
        <v>3.4730885170659995</v>
      </c>
      <c r="H53" s="95">
        <f>'ALL CONTROLS'!O50</f>
        <v>3.6147109179932406</v>
      </c>
      <c r="J53" s="93" t="str">
        <f>'ALL CONTROLS'!B73</f>
        <v>50-54</v>
      </c>
      <c r="K53" s="96"/>
      <c r="L53" s="97">
        <f>ROUND('ALL CONTROLS'!E50,-2)</f>
        <v>3800</v>
      </c>
      <c r="M53" s="97">
        <f>ROUND('ALL CONTROLS'!F50,-2)</f>
        <v>3900</v>
      </c>
      <c r="N53" s="98"/>
      <c r="O53" s="97">
        <f>ROUND('ALL CONTROLS'!K50,-2)</f>
        <v>107600</v>
      </c>
      <c r="P53" s="97">
        <f>ROUND('ALL CONTROLS'!L50,-2)</f>
        <v>112000</v>
      </c>
      <c r="R53" s="121"/>
      <c r="S53" s="121"/>
      <c r="T53" s="121"/>
      <c r="U53" s="121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</row>
    <row r="54" spans="2:32">
      <c r="B54" s="93" t="str">
        <f>'ALL CONTROLS'!B74</f>
        <v>55-59</v>
      </c>
      <c r="C54" s="94"/>
      <c r="D54" s="95">
        <f>'ALL CONTROLS'!H51</f>
        <v>3.4517063886846318</v>
      </c>
      <c r="E54" s="95">
        <f>'ALL CONTROLS'!I51</f>
        <v>3.570656170249578</v>
      </c>
      <c r="F54" s="96"/>
      <c r="G54" s="95">
        <f>'ALL CONTROLS'!N51</f>
        <v>3.1103041348320115</v>
      </c>
      <c r="H54" s="95">
        <f>'ALL CONTROLS'!O51</f>
        <v>3.2520556060722421</v>
      </c>
      <c r="J54" s="93" t="str">
        <f>'ALL CONTROLS'!B74</f>
        <v>55-59</v>
      </c>
      <c r="K54" s="96"/>
      <c r="L54" s="97">
        <f>ROUND('ALL CONTROLS'!E51,-2)</f>
        <v>3200</v>
      </c>
      <c r="M54" s="97">
        <f>ROUND('ALL CONTROLS'!F51,-2)</f>
        <v>3300</v>
      </c>
      <c r="N54" s="98"/>
      <c r="O54" s="97">
        <f>ROUND('ALL CONTROLS'!K51,-2)</f>
        <v>96400</v>
      </c>
      <c r="P54" s="97">
        <f>ROUND('ALL CONTROLS'!L51,-2)</f>
        <v>100800</v>
      </c>
      <c r="R54" s="121"/>
      <c r="S54" s="121"/>
      <c r="T54" s="121"/>
      <c r="U54" s="121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</row>
    <row r="55" spans="2:32">
      <c r="B55" s="93" t="str">
        <f>'ALL CONTROLS'!B75</f>
        <v>60-64</v>
      </c>
      <c r="C55" s="94"/>
      <c r="D55" s="95">
        <f>'ALL CONTROLS'!H52</f>
        <v>3.3803365197456636</v>
      </c>
      <c r="E55" s="95">
        <f>'ALL CONTROLS'!I52</f>
        <v>3.5641680003460361</v>
      </c>
      <c r="F55" s="96"/>
      <c r="G55" s="95">
        <f>'ALL CONTROLS'!N52</f>
        <v>2.9126652180675205</v>
      </c>
      <c r="H55" s="95">
        <f>'ALL CONTROLS'!O52</f>
        <v>3.0543198865730088</v>
      </c>
      <c r="J55" s="93" t="str">
        <f>'ALL CONTROLS'!B75</f>
        <v>60-64</v>
      </c>
      <c r="K55" s="96"/>
      <c r="L55" s="97">
        <f>ROUND('ALL CONTROLS'!E52,-2)</f>
        <v>3100</v>
      </c>
      <c r="M55" s="97">
        <f>ROUND('ALL CONTROLS'!F52,-2)</f>
        <v>3300</v>
      </c>
      <c r="N55" s="98"/>
      <c r="O55" s="97">
        <f>ROUND('ALL CONTROLS'!K52,-2)</f>
        <v>90300</v>
      </c>
      <c r="P55" s="97">
        <f>ROUND('ALL CONTROLS'!L52,-2)</f>
        <v>94700</v>
      </c>
      <c r="R55" s="121"/>
      <c r="S55" s="121"/>
      <c r="T55" s="121"/>
      <c r="U55" s="121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</row>
    <row r="56" spans="2:32">
      <c r="B56" s="93" t="str">
        <f>'ALL CONTROLS'!B76</f>
        <v>65-69</v>
      </c>
      <c r="C56" s="94"/>
      <c r="D56" s="95">
        <f>'ALL CONTROLS'!H53</f>
        <v>3.594446126562568</v>
      </c>
      <c r="E56" s="95">
        <f>'ALL CONTROLS'!I53</f>
        <v>3.7317790561875515</v>
      </c>
      <c r="F56" s="96"/>
      <c r="G56" s="95">
        <f>'ALL CONTROLS'!N53</f>
        <v>3.0900078281144827</v>
      </c>
      <c r="H56" s="95">
        <f>'ALL CONTROLS'!O53</f>
        <v>3.2243054887795948</v>
      </c>
      <c r="J56" s="93" t="str">
        <f>'ALL CONTROLS'!B76</f>
        <v>65-69</v>
      </c>
      <c r="K56" s="96"/>
      <c r="L56" s="97">
        <f>ROUND('ALL CONTROLS'!E53,-2)</f>
        <v>3300</v>
      </c>
      <c r="M56" s="97">
        <f>ROUND('ALL CONTROLS'!F53,-2)</f>
        <v>3500</v>
      </c>
      <c r="N56" s="98"/>
      <c r="O56" s="97">
        <f>ROUND('ALL CONTROLS'!K53,-2)</f>
        <v>95800</v>
      </c>
      <c r="P56" s="97">
        <f>ROUND('ALL CONTROLS'!L53,-2)</f>
        <v>99900</v>
      </c>
      <c r="R56" s="121"/>
      <c r="S56" s="121"/>
      <c r="T56" s="121"/>
      <c r="U56" s="121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</row>
    <row r="57" spans="2:32">
      <c r="B57" s="93" t="str">
        <f>'ALL CONTROLS'!B77</f>
        <v>70-74</v>
      </c>
      <c r="C57" s="94"/>
      <c r="D57" s="95">
        <f>'ALL CONTROLS'!H54</f>
        <v>2.7617976556079413</v>
      </c>
      <c r="E57" s="95">
        <f>'ALL CONTROLS'!I54</f>
        <v>2.9423850512565424</v>
      </c>
      <c r="F57" s="96"/>
      <c r="G57" s="95">
        <f>'ALL CONTROLS'!N54</f>
        <v>2.3356886514281956</v>
      </c>
      <c r="H57" s="95">
        <f>'ALL CONTROLS'!O54</f>
        <v>2.517710060321011</v>
      </c>
      <c r="J57" s="93" t="str">
        <f>'ALL CONTROLS'!B77</f>
        <v>70-74</v>
      </c>
      <c r="K57" s="96"/>
      <c r="L57" s="97">
        <f>ROUND('ALL CONTROLS'!E54,-2)</f>
        <v>2600</v>
      </c>
      <c r="M57" s="97">
        <f>ROUND('ALL CONTROLS'!F54,-2)</f>
        <v>2700</v>
      </c>
      <c r="N57" s="98"/>
      <c r="O57" s="97">
        <f>ROUND('ALL CONTROLS'!K54,-2)</f>
        <v>72400</v>
      </c>
      <c r="P57" s="97">
        <f>ROUND('ALL CONTROLS'!L54,-2)</f>
        <v>78000</v>
      </c>
      <c r="R57" s="121"/>
      <c r="S57" s="121"/>
      <c r="T57" s="121"/>
      <c r="U57" s="121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</row>
    <row r="58" spans="2:32">
      <c r="B58" s="93" t="str">
        <f>'ALL CONTROLS'!B78</f>
        <v>75-79</v>
      </c>
      <c r="C58" s="94"/>
      <c r="D58" s="95">
        <f>'ALL CONTROLS'!H55</f>
        <v>1.984298628833427</v>
      </c>
      <c r="E58" s="95">
        <f>'ALL CONTROLS'!I55</f>
        <v>2.249232233228081</v>
      </c>
      <c r="F58" s="96"/>
      <c r="G58" s="95">
        <f>'ALL CONTROLS'!N55</f>
        <v>1.7302198131965361</v>
      </c>
      <c r="H58" s="95">
        <f>'ALL CONTROLS'!O55</f>
        <v>1.9947816872458526</v>
      </c>
      <c r="J58" s="93" t="str">
        <f>'ALL CONTROLS'!B78</f>
        <v>75-79</v>
      </c>
      <c r="K58" s="96"/>
      <c r="L58" s="97">
        <f>ROUND('ALL CONTROLS'!E55,-2)</f>
        <v>1800</v>
      </c>
      <c r="M58" s="97">
        <f>ROUND('ALL CONTROLS'!F55,-2)</f>
        <v>2100</v>
      </c>
      <c r="N58" s="98"/>
      <c r="O58" s="97">
        <f>ROUND('ALL CONTROLS'!K55,-2)</f>
        <v>53600</v>
      </c>
      <c r="P58" s="97">
        <f>ROUND('ALL CONTROLS'!L55,-2)</f>
        <v>61800</v>
      </c>
      <c r="R58" s="121"/>
      <c r="S58" s="121"/>
      <c r="T58" s="121"/>
      <c r="U58" s="121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</row>
    <row r="59" spans="2:32">
      <c r="B59" s="93" t="str">
        <f>'ALL CONTROLS'!B79</f>
        <v>80-84</v>
      </c>
      <c r="C59" s="94"/>
      <c r="D59" s="95">
        <f>'ALL CONTROLS'!H56</f>
        <v>1.5463471603443055</v>
      </c>
      <c r="E59" s="95">
        <f>'ALL CONTROLS'!I56</f>
        <v>1.7366668108482202</v>
      </c>
      <c r="F59" s="96"/>
      <c r="G59" s="95">
        <f>'ALL CONTROLS'!N56</f>
        <v>1.1699578520892935</v>
      </c>
      <c r="H59" s="95">
        <f>'ALL CONTROLS'!O56</f>
        <v>1.5383890605165522</v>
      </c>
      <c r="J59" s="93" t="str">
        <f>'ALL CONTROLS'!B79</f>
        <v>80-84</v>
      </c>
      <c r="K59" s="96"/>
      <c r="L59" s="97">
        <f>ROUND('ALL CONTROLS'!E56,-2)</f>
        <v>1400</v>
      </c>
      <c r="M59" s="97">
        <f>ROUND('ALL CONTROLS'!F56,-2)</f>
        <v>1600</v>
      </c>
      <c r="N59" s="98"/>
      <c r="O59" s="97">
        <f>ROUND('ALL CONTROLS'!K56,-2)</f>
        <v>36300</v>
      </c>
      <c r="P59" s="97">
        <f>ROUND('ALL CONTROLS'!L56,-2)</f>
        <v>47700</v>
      </c>
      <c r="R59" s="121"/>
      <c r="S59" s="121"/>
      <c r="T59" s="121"/>
      <c r="U59" s="121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</row>
    <row r="60" spans="2:32">
      <c r="B60" s="93" t="str">
        <f>'ALL CONTROLS'!B80</f>
        <v>85-89</v>
      </c>
      <c r="C60" s="94"/>
      <c r="D60" s="95">
        <f>'ALL CONTROLS'!H57</f>
        <v>0.72559366754617416</v>
      </c>
      <c r="E60" s="95">
        <f>'ALL CONTROLS'!I57</f>
        <v>1.1819282840953329</v>
      </c>
      <c r="F60" s="96"/>
      <c r="G60" s="95">
        <f>'ALL CONTROLS'!N57</f>
        <v>0.61556859022305288</v>
      </c>
      <c r="H60" s="95">
        <f>'ALL CONTROLS'!O57</f>
        <v>1.0055222733412368</v>
      </c>
      <c r="J60" s="93" t="str">
        <f>'ALL CONTROLS'!B80</f>
        <v>85-89</v>
      </c>
      <c r="K60" s="96"/>
      <c r="L60" s="97">
        <f>ROUND('ALL CONTROLS'!E57,-2)</f>
        <v>700</v>
      </c>
      <c r="M60" s="97">
        <f>ROUND('ALL CONTROLS'!F57,-2)</f>
        <v>1100</v>
      </c>
      <c r="N60" s="98"/>
      <c r="O60" s="97">
        <f>ROUND('ALL CONTROLS'!K57,-2)</f>
        <v>19100</v>
      </c>
      <c r="P60" s="97">
        <f>ROUND('ALL CONTROLS'!L57,-2)</f>
        <v>31200</v>
      </c>
      <c r="R60" s="121"/>
      <c r="S60" s="121"/>
      <c r="T60" s="121"/>
      <c r="U60" s="121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</row>
    <row r="61" spans="2:32">
      <c r="B61" s="93" t="str">
        <f>'ALL CONTROLS'!B81</f>
        <v>90+</v>
      </c>
      <c r="C61" s="94"/>
      <c r="D61" s="95">
        <f>'ALL CONTROLS'!H58</f>
        <v>0.33954755828539296</v>
      </c>
      <c r="E61" s="95">
        <f>'ALL CONTROLS'!I58</f>
        <v>0.85643842726761532</v>
      </c>
      <c r="F61" s="96"/>
      <c r="G61" s="95">
        <f>'ALL CONTROLS'!N58</f>
        <v>0.26733688577858117</v>
      </c>
      <c r="H61" s="95">
        <f>'ALL CONTROLS'!O58</f>
        <v>0.67042347324340146</v>
      </c>
      <c r="J61" s="93" t="str">
        <f>'ALL CONTROLS'!B81</f>
        <v>90+</v>
      </c>
      <c r="K61" s="96"/>
      <c r="L61" s="97">
        <f>ROUND('ALL CONTROLS'!E58,-2)</f>
        <v>300</v>
      </c>
      <c r="M61" s="97">
        <f>ROUND('ALL CONTROLS'!F58,-2)</f>
        <v>800</v>
      </c>
      <c r="N61" s="98"/>
      <c r="O61" s="97">
        <f>ROUND('ALL CONTROLS'!K58,-2)</f>
        <v>8300</v>
      </c>
      <c r="P61" s="97">
        <f>ROUND('ALL CONTROLS'!L58,-2)</f>
        <v>20800</v>
      </c>
      <c r="R61" s="121"/>
      <c r="S61" s="121"/>
      <c r="T61" s="121"/>
      <c r="U61" s="121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</row>
    <row r="62" spans="2:32" ht="12.75" customHeight="1">
      <c r="B62" s="99" t="s">
        <v>200</v>
      </c>
      <c r="C62" s="100"/>
      <c r="D62" s="101">
        <f>'ALL CONTROLS'!H59</f>
        <v>49.198711016912497</v>
      </c>
      <c r="E62" s="101">
        <f>'ALL CONTROLS'!I59</f>
        <v>50.801288983087495</v>
      </c>
      <c r="F62" s="102"/>
      <c r="G62" s="101">
        <f>'ALL CONTROLS'!N59</f>
        <v>49.226158938474128</v>
      </c>
      <c r="H62" s="101">
        <f>'ALL CONTROLS'!O59</f>
        <v>50.773841061525879</v>
      </c>
      <c r="I62" s="103"/>
      <c r="J62" s="87" t="s">
        <v>200</v>
      </c>
      <c r="K62" s="92"/>
      <c r="L62" s="104">
        <f>ROUND('ALL CONTROLS'!E59,-2)</f>
        <v>45500</v>
      </c>
      <c r="M62" s="104">
        <f>ROUND('ALL CONTROLS'!F59,-2)</f>
        <v>47000</v>
      </c>
      <c r="N62" s="92"/>
      <c r="O62" s="104">
        <f>ROUND('ALL CONTROLS'!K59,-2)</f>
        <v>1525600</v>
      </c>
      <c r="P62" s="104">
        <f>ROUND('ALL CONTROLS'!L59,-2)</f>
        <v>1573500</v>
      </c>
      <c r="R62" s="121"/>
      <c r="S62" s="121"/>
      <c r="T62" s="121"/>
      <c r="U62" s="121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</row>
    <row r="63" spans="2:32" ht="11.25" customHeight="1">
      <c r="B63" s="154" t="s">
        <v>87</v>
      </c>
      <c r="C63" s="154"/>
      <c r="D63" s="154"/>
      <c r="E63" s="154"/>
      <c r="F63" s="154"/>
      <c r="G63" s="154"/>
      <c r="H63" s="154"/>
      <c r="J63" s="154" t="s">
        <v>87</v>
      </c>
      <c r="K63" s="154"/>
      <c r="L63" s="154"/>
      <c r="M63" s="154"/>
      <c r="N63" s="154"/>
      <c r="O63" s="154"/>
      <c r="P63" s="154"/>
    </row>
    <row r="64" spans="2:32" ht="33.75" customHeight="1">
      <c r="J64" s="155" t="s">
        <v>212</v>
      </c>
      <c r="K64" s="156"/>
      <c r="L64" s="156"/>
      <c r="M64" s="156"/>
      <c r="N64" s="156"/>
      <c r="O64" s="156"/>
      <c r="P64" s="156"/>
    </row>
    <row r="65" spans="4:17" ht="14.25" customHeight="1">
      <c r="D65" s="105"/>
      <c r="J65" s="155"/>
      <c r="K65" s="156"/>
      <c r="L65" s="156"/>
      <c r="M65" s="156"/>
      <c r="N65" s="156"/>
      <c r="O65" s="156"/>
      <c r="P65" s="156"/>
    </row>
    <row r="66" spans="4:17">
      <c r="P66" s="106"/>
      <c r="Q66" s="106"/>
    </row>
    <row r="67" spans="4:17">
      <c r="P67" s="107"/>
      <c r="Q67" s="108"/>
    </row>
  </sheetData>
  <sheetProtection password="C3EC" sheet="1" scenarios="1"/>
  <dataConsolidate/>
  <mergeCells count="11">
    <mergeCell ref="B63:H63"/>
    <mergeCell ref="J63:P63"/>
    <mergeCell ref="J64:P64"/>
    <mergeCell ref="J65:P65"/>
    <mergeCell ref="B13:E13"/>
    <mergeCell ref="B38:H38"/>
    <mergeCell ref="J38:P38"/>
    <mergeCell ref="D40:E40"/>
    <mergeCell ref="G40:H40"/>
    <mergeCell ref="L40:M40"/>
    <mergeCell ref="O40:P4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List Box 1">
              <controlPr defaultSize="0" autoLine="0" autoPict="0">
                <anchor>
                  <from>
                    <xdr:col>1</xdr:col>
                    <xdr:colOff>123825</xdr:colOff>
                    <xdr:row>10</xdr:row>
                    <xdr:rowOff>66675</xdr:rowOff>
                  </from>
                  <to>
                    <xdr:col>3</xdr:col>
                    <xdr:colOff>466725</xdr:colOff>
                    <xdr:row>32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6"/>
  <sheetViews>
    <sheetView showGridLines="0" showRowColHeaders="0" topLeftCell="A2" zoomScaleNormal="100" workbookViewId="0"/>
  </sheetViews>
  <sheetFormatPr defaultRowHeight="12.75"/>
  <cols>
    <col min="1" max="1" width="1.85546875" style="147" customWidth="1"/>
    <col min="2" max="11" width="9.140625" style="147"/>
    <col min="12" max="12" width="7.85546875" style="147" customWidth="1"/>
    <col min="13" max="13" width="10.5703125" style="147" customWidth="1"/>
    <col min="14" max="15" width="9.140625" style="147"/>
    <col min="16" max="16" width="13.85546875" style="147" customWidth="1"/>
    <col min="17" max="16384" width="9.140625" style="147"/>
  </cols>
  <sheetData>
    <row r="1" spans="1:15" s="123" customFormat="1" ht="8.25" hidden="1" customHeight="1">
      <c r="A1" s="122"/>
      <c r="B1" s="122"/>
      <c r="C1" s="122"/>
    </row>
    <row r="2" spans="1:15" s="123" customFormat="1">
      <c r="A2" s="122"/>
      <c r="B2" s="122"/>
      <c r="C2" s="122"/>
    </row>
    <row r="3" spans="1:15" s="123" customFormat="1">
      <c r="A3" s="122"/>
      <c r="B3" s="122"/>
      <c r="C3" s="122"/>
    </row>
    <row r="4" spans="1:15" s="123" customFormat="1">
      <c r="A4" s="122"/>
      <c r="B4" s="122"/>
      <c r="C4" s="122"/>
    </row>
    <row r="5" spans="1:15" s="123" customFormat="1">
      <c r="A5" s="122"/>
      <c r="B5" s="122"/>
      <c r="C5" s="122"/>
    </row>
    <row r="6" spans="1:15" s="123" customFormat="1">
      <c r="A6" s="122"/>
      <c r="B6" s="122"/>
      <c r="C6" s="122"/>
    </row>
    <row r="7" spans="1:15" s="123" customFormat="1" ht="7.5" customHeight="1">
      <c r="A7" s="124"/>
      <c r="B7" s="122"/>
      <c r="C7" s="122"/>
    </row>
    <row r="8" spans="1:15" s="123" customFormat="1" ht="7.5" customHeight="1">
      <c r="A8" s="125"/>
      <c r="B8" s="122"/>
      <c r="C8" s="122"/>
    </row>
    <row r="9" spans="1:15" s="123" customFormat="1" ht="7.5" customHeight="1">
      <c r="A9" s="125"/>
      <c r="B9" s="122"/>
      <c r="C9" s="122"/>
    </row>
    <row r="10" spans="1:15" s="123" customFormat="1" ht="7.5" customHeight="1">
      <c r="A10" s="125"/>
      <c r="B10" s="122"/>
      <c r="C10" s="122"/>
    </row>
    <row r="11" spans="1:15" s="123" customFormat="1" ht="7.5" customHeight="1">
      <c r="A11" s="125"/>
      <c r="B11" s="122"/>
      <c r="C11" s="122"/>
    </row>
    <row r="12" spans="1:15" s="123" customFormat="1" ht="7.5" customHeight="1">
      <c r="A12" s="125"/>
      <c r="B12" s="122"/>
      <c r="C12" s="122"/>
    </row>
    <row r="13" spans="1:15" s="123" customFormat="1" ht="7.5" customHeight="1">
      <c r="A13" s="125"/>
      <c r="B13" s="122"/>
      <c r="C13" s="122"/>
    </row>
    <row r="14" spans="1:15" s="78" customFormat="1" ht="14.25">
      <c r="B14" s="143" t="s">
        <v>1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5" t="s">
        <v>0</v>
      </c>
    </row>
    <row r="15" spans="1:15" s="78" customFormat="1"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</row>
    <row r="17" spans="2:13">
      <c r="B17" s="146" t="s">
        <v>2</v>
      </c>
      <c r="C17" s="146"/>
    </row>
    <row r="18" spans="2:13">
      <c r="B18" s="147" t="s">
        <v>3</v>
      </c>
    </row>
    <row r="19" spans="2:13">
      <c r="B19" s="147" t="s">
        <v>4</v>
      </c>
    </row>
    <row r="20" spans="2:13">
      <c r="B20" s="147" t="s">
        <v>5</v>
      </c>
    </row>
    <row r="21" spans="2:13">
      <c r="B21" s="147" t="s">
        <v>6</v>
      </c>
      <c r="D21" s="146"/>
      <c r="E21" s="146"/>
      <c r="F21" s="146"/>
      <c r="G21" s="146"/>
      <c r="H21" s="146"/>
      <c r="I21" s="146"/>
      <c r="J21" s="146"/>
      <c r="K21" s="146"/>
      <c r="L21" s="146"/>
    </row>
    <row r="22" spans="2:13" s="146" customFormat="1">
      <c r="B22" s="147"/>
      <c r="C22" s="147"/>
      <c r="M22" s="147"/>
    </row>
    <row r="23" spans="2:13" s="146" customFormat="1">
      <c r="B23" s="146" t="s">
        <v>7</v>
      </c>
    </row>
    <row r="24" spans="2:13" s="146" customFormat="1">
      <c r="B24" s="148">
        <v>1</v>
      </c>
      <c r="C24" s="147" t="s">
        <v>8</v>
      </c>
      <c r="D24" s="147"/>
      <c r="E24" s="147"/>
      <c r="F24" s="147"/>
      <c r="G24" s="147"/>
      <c r="H24" s="147"/>
      <c r="I24" s="147"/>
      <c r="J24" s="147"/>
      <c r="K24" s="147"/>
      <c r="L24" s="147"/>
    </row>
    <row r="25" spans="2:13">
      <c r="B25" s="149"/>
      <c r="C25" s="147" t="s">
        <v>9</v>
      </c>
      <c r="M25" s="146"/>
    </row>
    <row r="26" spans="2:13">
      <c r="B26" s="148">
        <v>2</v>
      </c>
      <c r="C26" s="147" t="s">
        <v>10</v>
      </c>
    </row>
    <row r="27" spans="2:13">
      <c r="B27" s="148">
        <v>3</v>
      </c>
      <c r="C27" s="147" t="s">
        <v>11</v>
      </c>
    </row>
    <row r="28" spans="2:13">
      <c r="B28" s="148">
        <v>4</v>
      </c>
      <c r="C28" s="147" t="s">
        <v>12</v>
      </c>
    </row>
    <row r="29" spans="2:13">
      <c r="B29" s="148">
        <v>5</v>
      </c>
      <c r="C29" s="147" t="s">
        <v>13</v>
      </c>
      <c r="D29" s="146"/>
      <c r="E29" s="146"/>
      <c r="F29" s="146"/>
      <c r="G29" s="146"/>
      <c r="H29" s="146"/>
      <c r="I29" s="146"/>
      <c r="J29" s="146"/>
      <c r="K29" s="146"/>
      <c r="L29" s="146"/>
    </row>
    <row r="30" spans="2:13" s="146" customFormat="1">
      <c r="B30" s="148"/>
      <c r="C30" s="147" t="s">
        <v>14</v>
      </c>
      <c r="D30" s="147"/>
      <c r="E30" s="147"/>
      <c r="F30" s="147"/>
      <c r="G30" s="147"/>
      <c r="H30" s="147"/>
      <c r="I30" s="147"/>
      <c r="J30" s="147"/>
      <c r="K30" s="147"/>
      <c r="L30" s="147"/>
      <c r="M30" s="147"/>
    </row>
    <row r="31" spans="2:13">
      <c r="B31" s="148">
        <v>6</v>
      </c>
      <c r="C31" s="147" t="s">
        <v>15</v>
      </c>
      <c r="M31" s="146"/>
    </row>
    <row r="32" spans="2:13">
      <c r="C32" s="147" t="s">
        <v>16</v>
      </c>
    </row>
    <row r="36" spans="1:11">
      <c r="B36" s="146" t="s">
        <v>17</v>
      </c>
      <c r="K36" s="146" t="s">
        <v>18</v>
      </c>
    </row>
    <row r="39" spans="1:11" ht="12.75" customHeight="1"/>
    <row r="41" spans="1:11" s="146" customFormat="1"/>
    <row r="42" spans="1:11">
      <c r="A42" s="148"/>
    </row>
    <row r="43" spans="1:11">
      <c r="A43" s="149"/>
    </row>
    <row r="44" spans="1:11">
      <c r="A44" s="148"/>
    </row>
    <row r="45" spans="1:11">
      <c r="A45" s="148"/>
    </row>
    <row r="46" spans="1:11">
      <c r="A46" s="148"/>
    </row>
    <row r="47" spans="1:11">
      <c r="A47" s="148"/>
    </row>
    <row r="48" spans="1:11">
      <c r="A48" s="148"/>
    </row>
    <row r="49" spans="1:17">
      <c r="A49" s="148"/>
    </row>
    <row r="50" spans="1:17">
      <c r="A50" s="148"/>
    </row>
    <row r="51" spans="1:17">
      <c r="A51" s="148"/>
    </row>
    <row r="54" spans="1:17" ht="17.25" customHeight="1"/>
    <row r="56" spans="1:17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1"/>
    </row>
  </sheetData>
  <sheetProtection password="C3EC" sheet="1" scenarios="1"/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83"/>
  <sheetViews>
    <sheetView showGridLines="0" topLeftCell="A19" zoomScale="85" zoomScaleNormal="85" workbookViewId="0">
      <selection activeCell="H47" sqref="H47"/>
    </sheetView>
  </sheetViews>
  <sheetFormatPr defaultRowHeight="14.25"/>
  <cols>
    <col min="1" max="1" width="19.7109375" style="1" customWidth="1"/>
    <col min="2" max="2" width="31.5703125" style="1" customWidth="1"/>
    <col min="3" max="3" width="19.42578125" style="1" bestFit="1" customWidth="1"/>
    <col min="4" max="4" width="13.28515625" style="1" customWidth="1"/>
    <col min="5" max="5" width="20.28515625" style="1" bestFit="1" customWidth="1"/>
    <col min="6" max="6" width="18" style="1" bestFit="1" customWidth="1"/>
    <col min="7" max="7" width="17" style="1" bestFit="1" customWidth="1"/>
    <col min="8" max="8" width="15.85546875" style="1" bestFit="1" customWidth="1"/>
    <col min="9" max="9" width="25" style="1" bestFit="1" customWidth="1"/>
    <col min="10" max="10" width="25.140625" style="1" bestFit="1" customWidth="1"/>
    <col min="11" max="11" width="20.5703125" style="1" bestFit="1" customWidth="1"/>
    <col min="12" max="12" width="13.7109375" style="1" bestFit="1" customWidth="1"/>
    <col min="13" max="13" width="15.85546875" style="1" bestFit="1" customWidth="1"/>
    <col min="14" max="14" width="13.7109375" style="1" bestFit="1" customWidth="1"/>
    <col min="15" max="15" width="30.5703125" style="1" bestFit="1" customWidth="1"/>
    <col min="16" max="16" width="13.7109375" style="1" bestFit="1" customWidth="1"/>
    <col min="17" max="17" width="9.140625" style="1"/>
    <col min="18" max="18" width="30.5703125" style="1" bestFit="1" customWidth="1"/>
    <col min="19" max="19" width="21.85546875" style="1" bestFit="1" customWidth="1"/>
    <col min="20" max="20" width="7.5703125" style="1" bestFit="1" customWidth="1"/>
    <col min="21" max="21" width="11.7109375" style="1" bestFit="1" customWidth="1"/>
    <col min="22" max="23" width="9.140625" style="1"/>
    <col min="24" max="24" width="9.140625" style="72"/>
    <col min="25" max="16384" width="9.140625" style="1"/>
  </cols>
  <sheetData>
    <row r="1" spans="1:24" ht="15" thickBot="1"/>
    <row r="2" spans="1:24" ht="21" thickBot="1">
      <c r="A2" s="34" t="s">
        <v>201</v>
      </c>
      <c r="B2" s="35" t="s">
        <v>92</v>
      </c>
      <c r="C2" s="36"/>
      <c r="D2" s="37"/>
      <c r="E2" s="50" t="s">
        <v>93</v>
      </c>
      <c r="F2" s="51"/>
      <c r="G2" s="51"/>
      <c r="H2" s="53"/>
      <c r="I2" s="37"/>
      <c r="J2" s="38"/>
      <c r="K2" s="2"/>
      <c r="L2" s="2"/>
      <c r="M2" s="2"/>
      <c r="N2" s="2"/>
      <c r="O2" s="2"/>
      <c r="P2" s="2"/>
      <c r="Q2" s="3"/>
      <c r="X2" s="1"/>
    </row>
    <row r="3" spans="1:24">
      <c r="A3" s="35"/>
      <c r="B3" s="40">
        <v>1</v>
      </c>
      <c r="C3" s="41" t="s">
        <v>21</v>
      </c>
      <c r="D3" s="42"/>
      <c r="E3" s="40" t="str">
        <f>"Percentage of population by age and sex, "&amp;'ALL CONTROLS'!C35&amp; " and Wales, 2015"</f>
        <v>Percentage of population by age and sex, Monmouthshire and Wales, 2015</v>
      </c>
      <c r="F3" s="42"/>
      <c r="G3" s="42"/>
      <c r="H3" s="41"/>
      <c r="I3" s="42"/>
      <c r="J3" s="44"/>
      <c r="K3" s="33"/>
      <c r="L3" s="33"/>
      <c r="M3" s="33"/>
      <c r="N3" s="33"/>
      <c r="O3" s="33"/>
      <c r="P3" s="33"/>
      <c r="Q3" s="4"/>
      <c r="X3" s="1"/>
    </row>
    <row r="4" spans="1:24">
      <c r="A4" s="40"/>
      <c r="B4" s="40">
        <v>2</v>
      </c>
      <c r="C4" s="41" t="s">
        <v>202</v>
      </c>
      <c r="D4" s="42"/>
      <c r="E4" s="40"/>
      <c r="F4" s="42"/>
      <c r="G4" s="42"/>
      <c r="H4" s="41"/>
      <c r="I4" s="42"/>
      <c r="J4" s="44"/>
      <c r="Q4" s="72"/>
      <c r="X4" s="1"/>
    </row>
    <row r="5" spans="1:24">
      <c r="A5" s="40"/>
      <c r="B5" s="40">
        <v>3</v>
      </c>
      <c r="C5" s="41" t="s">
        <v>203</v>
      </c>
      <c r="D5" s="42"/>
      <c r="E5" s="54" t="s">
        <v>94</v>
      </c>
      <c r="F5" s="42"/>
      <c r="G5" s="42"/>
      <c r="H5" s="41"/>
      <c r="I5" s="42"/>
      <c r="J5" s="44"/>
      <c r="Q5" s="72"/>
      <c r="X5" s="1"/>
    </row>
    <row r="6" spans="1:24">
      <c r="A6" s="40"/>
      <c r="B6" s="40">
        <v>4</v>
      </c>
      <c r="C6" s="41" t="s">
        <v>204</v>
      </c>
      <c r="D6" s="42"/>
      <c r="E6" s="40" t="str">
        <f>'ALL CONTROLS'!C35&amp;" Males"</f>
        <v>Monmouthshire Males</v>
      </c>
      <c r="F6" s="42"/>
      <c r="G6" s="42"/>
      <c r="H6" s="41"/>
      <c r="I6" s="42"/>
      <c r="J6" s="44"/>
      <c r="Q6" s="72"/>
      <c r="X6" s="1"/>
    </row>
    <row r="7" spans="1:24">
      <c r="A7" s="40"/>
      <c r="B7" s="40">
        <v>5</v>
      </c>
      <c r="C7" s="41" t="s">
        <v>205</v>
      </c>
      <c r="D7" s="42"/>
      <c r="E7" s="40" t="str">
        <f>'ALL CONTROLS'!C35&amp;" Females"</f>
        <v>Monmouthshire Females</v>
      </c>
      <c r="F7" s="42"/>
      <c r="G7" s="42" t="str">
        <f>'ALL CONTROLS'!C35</f>
        <v>Monmouthshire</v>
      </c>
      <c r="H7" s="41"/>
      <c r="I7" s="42"/>
      <c r="J7" s="44"/>
      <c r="Q7" s="72"/>
      <c r="X7" s="1"/>
    </row>
    <row r="8" spans="1:24">
      <c r="A8" s="40"/>
      <c r="B8" s="40">
        <v>6</v>
      </c>
      <c r="C8" s="41" t="s">
        <v>206</v>
      </c>
      <c r="D8" s="42"/>
      <c r="E8" s="40" t="s">
        <v>95</v>
      </c>
      <c r="F8" s="42"/>
      <c r="G8" s="42" t="s">
        <v>19</v>
      </c>
      <c r="H8" s="41"/>
      <c r="I8" s="42"/>
      <c r="J8" s="44"/>
      <c r="Q8" s="72"/>
      <c r="X8" s="1"/>
    </row>
    <row r="9" spans="1:24">
      <c r="A9" s="40"/>
      <c r="B9" s="40">
        <v>7</v>
      </c>
      <c r="C9" s="41" t="s">
        <v>207</v>
      </c>
      <c r="D9" s="42"/>
      <c r="E9" s="40" t="s">
        <v>96</v>
      </c>
      <c r="F9" s="42"/>
      <c r="G9" s="42"/>
      <c r="H9" s="41"/>
      <c r="I9" s="42"/>
      <c r="J9" s="44"/>
      <c r="Q9" s="72"/>
      <c r="X9" s="1"/>
    </row>
    <row r="10" spans="1:24">
      <c r="A10" s="40"/>
      <c r="B10" s="40">
        <v>8</v>
      </c>
      <c r="C10" s="41" t="s">
        <v>88</v>
      </c>
      <c r="D10" s="42"/>
      <c r="E10" s="40"/>
      <c r="F10" s="42"/>
      <c r="G10" s="42"/>
      <c r="H10" s="41"/>
      <c r="I10" s="42"/>
      <c r="J10" s="44"/>
      <c r="Q10" s="72"/>
      <c r="X10" s="1"/>
    </row>
    <row r="11" spans="1:24">
      <c r="A11" s="40"/>
      <c r="B11" s="40">
        <v>9</v>
      </c>
      <c r="C11" s="41" t="s">
        <v>24</v>
      </c>
      <c r="D11" s="42"/>
      <c r="E11" s="54" t="s">
        <v>97</v>
      </c>
      <c r="F11" s="42"/>
      <c r="G11" s="42"/>
      <c r="H11" s="41"/>
      <c r="I11" s="42"/>
      <c r="J11" s="44"/>
      <c r="Q11" s="72"/>
      <c r="X11" s="1"/>
    </row>
    <row r="12" spans="1:24">
      <c r="A12" s="40"/>
      <c r="B12" s="40">
        <v>10</v>
      </c>
      <c r="C12" s="41" t="s">
        <v>208</v>
      </c>
      <c r="D12" s="42"/>
      <c r="E12" s="40" t="str">
        <f>"Percentage of population by age and sex, "&amp;'ALL CONTROLS'!C35&amp; " and Wales, 2015"</f>
        <v>Percentage of population by age and sex, Monmouthshire and Wales, 2015</v>
      </c>
      <c r="F12" s="42"/>
      <c r="G12" s="42"/>
      <c r="H12" s="41"/>
      <c r="I12" s="42"/>
      <c r="J12" s="44"/>
      <c r="Q12" s="72"/>
      <c r="X12" s="1"/>
    </row>
    <row r="13" spans="1:24">
      <c r="A13" s="40"/>
      <c r="B13" s="40">
        <v>11</v>
      </c>
      <c r="C13" s="41" t="s">
        <v>209</v>
      </c>
      <c r="D13" s="42"/>
      <c r="E13" s="40" t="str">
        <f>"Count of population by age and sex, "&amp;'ALL CONTROLS'!C35&amp; " and Wales, 2015"</f>
        <v>Count of population by age and sex, Monmouthshire and Wales, 2015</v>
      </c>
      <c r="F13" s="42"/>
      <c r="G13" s="42"/>
      <c r="H13" s="41"/>
      <c r="I13" s="42"/>
      <c r="J13" s="44"/>
      <c r="Q13" s="72"/>
      <c r="X13" s="1"/>
    </row>
    <row r="14" spans="1:24" ht="15" thickBot="1">
      <c r="A14" s="40"/>
      <c r="B14" s="40">
        <v>12</v>
      </c>
      <c r="C14" s="41" t="s">
        <v>210</v>
      </c>
      <c r="D14" s="42"/>
      <c r="E14" s="60"/>
      <c r="F14" s="47"/>
      <c r="G14" s="47"/>
      <c r="H14" s="46"/>
      <c r="I14" s="42"/>
      <c r="J14" s="44"/>
      <c r="Q14" s="72"/>
      <c r="X14" s="1"/>
    </row>
    <row r="15" spans="1:24">
      <c r="A15" s="40"/>
      <c r="B15" s="40">
        <v>13</v>
      </c>
      <c r="C15" s="41" t="s">
        <v>86</v>
      </c>
      <c r="D15" s="42"/>
      <c r="E15" s="42"/>
      <c r="F15" s="42"/>
      <c r="G15" s="42"/>
      <c r="H15" s="42"/>
      <c r="I15" s="42"/>
      <c r="J15" s="44"/>
      <c r="Q15" s="72"/>
      <c r="X15" s="1"/>
    </row>
    <row r="16" spans="1:24">
      <c r="A16" s="40"/>
      <c r="B16" s="40">
        <v>14</v>
      </c>
      <c r="C16" s="41" t="s">
        <v>71</v>
      </c>
      <c r="D16" s="42"/>
      <c r="E16" s="42"/>
      <c r="F16" s="42"/>
      <c r="G16" s="42"/>
      <c r="H16" s="42"/>
      <c r="I16" s="42"/>
      <c r="J16" s="44"/>
      <c r="Q16" s="72"/>
      <c r="X16" s="1"/>
    </row>
    <row r="17" spans="1:24">
      <c r="A17" s="40"/>
      <c r="B17" s="40">
        <v>15</v>
      </c>
      <c r="C17" s="41" t="s">
        <v>72</v>
      </c>
      <c r="D17" s="42"/>
      <c r="E17" s="42"/>
      <c r="F17" s="42"/>
      <c r="G17" s="42"/>
      <c r="H17" s="42"/>
      <c r="I17" s="42"/>
      <c r="J17" s="44"/>
      <c r="Q17" s="72"/>
      <c r="X17" s="1"/>
    </row>
    <row r="18" spans="1:24">
      <c r="A18" s="40"/>
      <c r="B18" s="40">
        <v>16</v>
      </c>
      <c r="C18" s="41" t="s">
        <v>73</v>
      </c>
      <c r="D18" s="42"/>
      <c r="E18" s="42"/>
      <c r="F18" s="42"/>
      <c r="G18" s="42"/>
      <c r="H18" s="42"/>
      <c r="I18" s="42"/>
      <c r="J18" s="44"/>
      <c r="Q18" s="72"/>
      <c r="X18" s="1"/>
    </row>
    <row r="19" spans="1:24">
      <c r="A19" s="40"/>
      <c r="B19" s="40">
        <v>17</v>
      </c>
      <c r="C19" s="41" t="s">
        <v>84</v>
      </c>
      <c r="D19" s="42"/>
      <c r="E19" s="42"/>
      <c r="F19" s="42"/>
      <c r="G19" s="42"/>
      <c r="H19" s="42"/>
      <c r="I19" s="42"/>
      <c r="J19" s="44"/>
      <c r="Q19" s="72"/>
      <c r="X19" s="1"/>
    </row>
    <row r="20" spans="1:24">
      <c r="A20" s="40"/>
      <c r="B20" s="40">
        <v>18</v>
      </c>
      <c r="C20" s="41" t="s">
        <v>211</v>
      </c>
      <c r="D20" s="42"/>
      <c r="E20" s="42"/>
      <c r="F20" s="42"/>
      <c r="G20" s="42"/>
      <c r="H20" s="42"/>
      <c r="I20" s="42"/>
      <c r="J20" s="44"/>
      <c r="Q20" s="72"/>
      <c r="X20" s="1"/>
    </row>
    <row r="21" spans="1:24">
      <c r="A21" s="40"/>
      <c r="B21" s="40">
        <v>19</v>
      </c>
      <c r="C21" s="41" t="s">
        <v>74</v>
      </c>
      <c r="D21" s="42"/>
      <c r="E21" s="42"/>
      <c r="F21" s="42"/>
      <c r="G21" s="42"/>
      <c r="H21" s="42"/>
      <c r="I21" s="42"/>
      <c r="J21" s="44"/>
      <c r="Q21" s="72"/>
      <c r="X21" s="1"/>
    </row>
    <row r="22" spans="1:24">
      <c r="A22" s="40"/>
      <c r="B22" s="40">
        <v>20</v>
      </c>
      <c r="C22" s="41" t="s">
        <v>25</v>
      </c>
      <c r="D22" s="42"/>
      <c r="E22" s="42"/>
      <c r="F22" s="42"/>
      <c r="G22" s="42"/>
      <c r="H22" s="42"/>
      <c r="I22" s="42"/>
      <c r="J22" s="44"/>
      <c r="Q22" s="72"/>
      <c r="X22" s="1"/>
    </row>
    <row r="23" spans="1:24">
      <c r="A23" s="40"/>
      <c r="B23" s="40">
        <v>21</v>
      </c>
      <c r="C23" s="41" t="s">
        <v>75</v>
      </c>
      <c r="D23" s="42"/>
      <c r="E23" s="42"/>
      <c r="F23" s="42"/>
      <c r="G23" s="42"/>
      <c r="H23" s="42"/>
      <c r="I23" s="42"/>
      <c r="J23" s="44"/>
      <c r="Q23" s="72"/>
      <c r="X23" s="1"/>
    </row>
    <row r="24" spans="1:24">
      <c r="A24" s="40"/>
      <c r="B24" s="40">
        <v>22</v>
      </c>
      <c r="C24" s="41" t="s">
        <v>76</v>
      </c>
      <c r="D24" s="42"/>
      <c r="E24" s="42"/>
      <c r="F24" s="42"/>
      <c r="G24" s="42"/>
      <c r="H24" s="42"/>
      <c r="I24" s="42"/>
      <c r="J24" s="44"/>
      <c r="Q24" s="72"/>
      <c r="X24" s="1"/>
    </row>
    <row r="25" spans="1:24">
      <c r="A25" s="40"/>
      <c r="B25" s="40">
        <v>23</v>
      </c>
      <c r="C25" s="41" t="s">
        <v>26</v>
      </c>
      <c r="D25" s="42"/>
      <c r="E25" s="42"/>
      <c r="F25" s="42"/>
      <c r="G25" s="42"/>
      <c r="H25" s="42"/>
      <c r="I25" s="42"/>
      <c r="J25" s="44"/>
      <c r="Q25" s="72"/>
      <c r="X25" s="1"/>
    </row>
    <row r="26" spans="1:24">
      <c r="A26" s="40"/>
      <c r="B26" s="40">
        <v>24</v>
      </c>
      <c r="C26" s="41" t="s">
        <v>77</v>
      </c>
      <c r="D26" s="42"/>
      <c r="E26" s="42"/>
      <c r="F26" s="42"/>
      <c r="G26" s="42"/>
      <c r="H26" s="42"/>
      <c r="I26" s="42"/>
      <c r="J26" s="44"/>
      <c r="Q26" s="72"/>
      <c r="X26" s="1"/>
    </row>
    <row r="27" spans="1:24">
      <c r="A27" s="40"/>
      <c r="B27" s="40">
        <v>25</v>
      </c>
      <c r="C27" s="41" t="s">
        <v>78</v>
      </c>
      <c r="D27" s="42"/>
      <c r="E27" s="42"/>
      <c r="F27" s="42"/>
      <c r="G27" s="42"/>
      <c r="H27" s="42"/>
      <c r="I27" s="42"/>
      <c r="J27" s="44"/>
      <c r="Q27" s="72"/>
      <c r="X27" s="1"/>
    </row>
    <row r="28" spans="1:24">
      <c r="A28" s="42"/>
      <c r="B28" s="40">
        <v>26</v>
      </c>
      <c r="C28" s="41" t="s">
        <v>79</v>
      </c>
      <c r="D28" s="42"/>
      <c r="E28" s="42"/>
      <c r="F28" s="42"/>
      <c r="G28" s="42"/>
      <c r="H28" s="42"/>
      <c r="I28" s="42"/>
      <c r="J28" s="44"/>
      <c r="Q28" s="72"/>
      <c r="X28" s="1"/>
    </row>
    <row r="29" spans="1:24">
      <c r="A29" s="42"/>
      <c r="B29" s="40">
        <v>27</v>
      </c>
      <c r="C29" s="41" t="s">
        <v>80</v>
      </c>
      <c r="D29" s="42"/>
      <c r="E29" s="42"/>
      <c r="F29" s="42"/>
      <c r="G29" s="42"/>
      <c r="H29" s="42"/>
      <c r="I29" s="42"/>
      <c r="J29" s="44"/>
      <c r="Q29" s="72"/>
      <c r="X29" s="1"/>
    </row>
    <row r="30" spans="1:24" ht="15" thickBot="1">
      <c r="A30" s="42"/>
      <c r="B30" s="45">
        <v>28</v>
      </c>
      <c r="C30" s="46" t="s">
        <v>81</v>
      </c>
      <c r="D30" s="42"/>
      <c r="E30" s="42"/>
      <c r="F30" s="42"/>
      <c r="G30" s="42"/>
      <c r="H30" s="42"/>
      <c r="I30" s="42"/>
      <c r="J30" s="44"/>
      <c r="Q30" s="72"/>
      <c r="X30" s="1"/>
    </row>
    <row r="31" spans="1:24">
      <c r="A31" s="42"/>
      <c r="B31" s="42"/>
      <c r="C31" s="42"/>
      <c r="D31" s="42"/>
      <c r="E31" s="42"/>
      <c r="F31" s="42"/>
      <c r="G31" s="42"/>
      <c r="H31" s="42"/>
      <c r="I31" s="42"/>
      <c r="J31" s="44"/>
      <c r="Q31" s="72"/>
      <c r="X31" s="1"/>
    </row>
    <row r="32" spans="1:24">
      <c r="A32" s="42"/>
      <c r="B32" s="42"/>
      <c r="C32" s="42"/>
      <c r="D32" s="42"/>
      <c r="E32" s="42"/>
      <c r="F32" s="42"/>
      <c r="G32" s="42"/>
      <c r="H32" s="42"/>
      <c r="I32" s="42"/>
      <c r="J32" s="44"/>
      <c r="Q32" s="72"/>
      <c r="X32" s="1"/>
    </row>
    <row r="33" spans="1:24" ht="15" thickBot="1">
      <c r="A33" s="39"/>
      <c r="B33" s="42"/>
      <c r="C33" s="42"/>
      <c r="D33" s="42"/>
      <c r="E33" s="42"/>
      <c r="F33" s="42"/>
      <c r="G33" s="42"/>
      <c r="H33" s="42"/>
      <c r="I33" s="42"/>
      <c r="J33" s="44"/>
      <c r="Q33" s="72"/>
      <c r="X33" s="1"/>
    </row>
    <row r="34" spans="1:24">
      <c r="A34" s="39"/>
      <c r="B34" s="160" t="s">
        <v>257</v>
      </c>
      <c r="C34" s="161"/>
      <c r="D34" s="42"/>
      <c r="E34" s="42"/>
      <c r="F34" s="42"/>
      <c r="G34" s="42"/>
      <c r="H34" s="42"/>
      <c r="I34" s="42"/>
      <c r="J34" s="44"/>
      <c r="Q34" s="72"/>
      <c r="X34" s="1"/>
    </row>
    <row r="35" spans="1:24" ht="15" thickBot="1">
      <c r="A35" s="39"/>
      <c r="B35" s="48">
        <v>27</v>
      </c>
      <c r="C35" s="49" t="str">
        <f>TRIM(INDEX(C3:C30,MATCH(B35,B3:B30,0)))</f>
        <v>Monmouthshire</v>
      </c>
      <c r="D35" s="42"/>
      <c r="E35" s="42"/>
      <c r="F35" s="42"/>
      <c r="G35" s="42"/>
      <c r="H35" s="42"/>
      <c r="I35" s="42"/>
      <c r="J35" s="44"/>
      <c r="Q35" s="72"/>
      <c r="X35" s="1"/>
    </row>
    <row r="36" spans="1:24">
      <c r="A36" s="39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4"/>
    </row>
    <row r="37" spans="1:24" ht="15" thickBot="1">
      <c r="A37" s="39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4"/>
    </row>
    <row r="38" spans="1:24">
      <c r="A38" s="39"/>
      <c r="B38" s="50" t="s">
        <v>236</v>
      </c>
      <c r="C38" s="51"/>
      <c r="D38" s="51"/>
      <c r="E38" s="51"/>
      <c r="F38" s="51"/>
      <c r="G38" s="51"/>
      <c r="H38" s="51"/>
      <c r="I38" s="51"/>
      <c r="J38" s="51"/>
      <c r="K38" s="52"/>
      <c r="L38" s="51"/>
      <c r="M38" s="51"/>
      <c r="N38" s="51"/>
      <c r="O38" s="51"/>
      <c r="P38" s="53"/>
      <c r="Q38" s="44"/>
    </row>
    <row r="39" spans="1:24">
      <c r="A39" s="39"/>
      <c r="B39" s="54" t="s">
        <v>122</v>
      </c>
      <c r="C39" s="43" t="s">
        <v>98</v>
      </c>
      <c r="D39" s="43" t="s">
        <v>99</v>
      </c>
      <c r="E39" s="43" t="s">
        <v>123</v>
      </c>
      <c r="F39" s="43" t="s">
        <v>124</v>
      </c>
      <c r="G39" s="43" t="s">
        <v>125</v>
      </c>
      <c r="H39" s="43" t="s">
        <v>126</v>
      </c>
      <c r="I39" s="43" t="s">
        <v>127</v>
      </c>
      <c r="J39" s="43" t="s">
        <v>128</v>
      </c>
      <c r="K39" s="43" t="s">
        <v>129</v>
      </c>
      <c r="L39" s="43" t="s">
        <v>130</v>
      </c>
      <c r="M39" s="43" t="s">
        <v>131</v>
      </c>
      <c r="N39" s="55" t="s">
        <v>132</v>
      </c>
      <c r="O39" s="55" t="s">
        <v>133</v>
      </c>
      <c r="P39" s="56" t="s">
        <v>134</v>
      </c>
      <c r="Q39" s="44"/>
    </row>
    <row r="40" spans="1:24">
      <c r="A40" s="39"/>
      <c r="B40" s="65" t="s">
        <v>19</v>
      </c>
      <c r="C40" s="42" t="str">
        <f>'ALL CONTROLS'!$C$35</f>
        <v>Monmouthshire</v>
      </c>
      <c r="D40" s="43" t="s">
        <v>119</v>
      </c>
      <c r="E40" s="42">
        <f>VLOOKUP(C40,'Interactive pyramid data'!$B$2:$BJ$31,2,FALSE)</f>
        <v>2243</v>
      </c>
      <c r="F40" s="42">
        <f>VLOOKUP(C40,'Interactive pyramid data'!$B$2:$BJ$31,22,FALSE)</f>
        <v>2111</v>
      </c>
      <c r="G40" s="57">
        <f t="shared" ref="G40:G58" si="0">SUM(E40:F40)</f>
        <v>4354</v>
      </c>
      <c r="H40" s="58">
        <f t="shared" ref="H40:H58" si="1">E40/SUM($G$40:$G$58)*100</f>
        <v>2.4254941822743197</v>
      </c>
      <c r="I40" s="58">
        <f t="shared" ref="I40:I58" si="2">F40/SUM($G$40:$G$58)*100</f>
        <v>2.2827544443963839</v>
      </c>
      <c r="J40" s="58">
        <f t="shared" ref="J40:J58" si="3">G40/SUM($G$40:$G$58)*100</f>
        <v>4.708248626670704</v>
      </c>
      <c r="K40" s="42">
        <f>VLOOKUP(B40,'Interactive pyramid data'!$B$2:$BJ$31,2,FALSE)</f>
        <v>90078</v>
      </c>
      <c r="L40" s="42">
        <f>VLOOKUP(B40,'Interactive pyramid data'!$B$2:$BJ$31,22,FALSE)</f>
        <v>85844</v>
      </c>
      <c r="M40" s="42">
        <f t="shared" ref="M40:M58" si="4">SUM(K40:L40)</f>
        <v>175922</v>
      </c>
      <c r="N40" s="58">
        <f t="shared" ref="N40:N58" si="5">K40/SUM($M$40:$M$58)*100</f>
        <v>2.9065989133570351</v>
      </c>
      <c r="O40" s="58">
        <f t="shared" ref="O40:O57" si="6">L40/SUM($M$40:$M$58)*100</f>
        <v>2.7699779870581196</v>
      </c>
      <c r="P40" s="59">
        <f t="shared" ref="P40:P58" si="7">M40/SUM($M$40:$M$58)*100</f>
        <v>5.6765769004151547</v>
      </c>
      <c r="Q40" s="44"/>
      <c r="X40" s="1"/>
    </row>
    <row r="41" spans="1:24">
      <c r="A41" s="39"/>
      <c r="B41" s="65" t="s">
        <v>19</v>
      </c>
      <c r="C41" s="42" t="str">
        <f>'ALL CONTROLS'!$C$35</f>
        <v>Monmouthshire</v>
      </c>
      <c r="D41" s="66" t="s">
        <v>120</v>
      </c>
      <c r="E41" s="42">
        <f>VLOOKUP(C41,'Interactive pyramid data'!$B$2:$BJ$31,3,FALSE)</f>
        <v>2476</v>
      </c>
      <c r="F41" s="42">
        <f>VLOOKUP(C41,'Interactive pyramid data'!$B$2:$BJ$31,23,FALSE)</f>
        <v>2447</v>
      </c>
      <c r="G41" s="57">
        <f t="shared" si="0"/>
        <v>4923</v>
      </c>
      <c r="H41" s="58">
        <f t="shared" si="1"/>
        <v>2.6774514468618884</v>
      </c>
      <c r="I41" s="58">
        <f t="shared" si="2"/>
        <v>2.6460919589947665</v>
      </c>
      <c r="J41" s="58">
        <f t="shared" si="3"/>
        <v>5.3235434058566549</v>
      </c>
      <c r="K41" s="42">
        <f>VLOOKUP(B41,'Interactive pyramid data'!$B$2:$BJ$31,3,FALSE)</f>
        <v>92156</v>
      </c>
      <c r="L41" s="42">
        <f>VLOOKUP(B41,'Interactive pyramid data'!$B$2:$BJ$31,23,FALSE)</f>
        <v>87647</v>
      </c>
      <c r="M41" s="42">
        <f t="shared" si="4"/>
        <v>179803</v>
      </c>
      <c r="N41" s="58">
        <f t="shared" si="5"/>
        <v>2.9736509409548493</v>
      </c>
      <c r="O41" s="58">
        <f t="shared" si="6"/>
        <v>2.8281564306379363</v>
      </c>
      <c r="P41" s="59">
        <f t="shared" si="7"/>
        <v>5.8018073715927851</v>
      </c>
      <c r="Q41" s="44"/>
      <c r="X41" s="1"/>
    </row>
    <row r="42" spans="1:24">
      <c r="A42" s="39"/>
      <c r="B42" s="65" t="s">
        <v>19</v>
      </c>
      <c r="C42" s="42" t="str">
        <f>'ALL CONTROLS'!$C$35</f>
        <v>Monmouthshire</v>
      </c>
      <c r="D42" s="66" t="s">
        <v>100</v>
      </c>
      <c r="E42" s="42">
        <f>VLOOKUP(C42,'Interactive pyramid data'!$B$2:$BJ$31,4,FALSE)</f>
        <v>2659</v>
      </c>
      <c r="F42" s="42">
        <f>VLOOKUP(C42,'Interactive pyramid data'!$B$2:$BJ$31,24,FALSE)</f>
        <v>2446</v>
      </c>
      <c r="G42" s="57">
        <f t="shared" si="0"/>
        <v>5105</v>
      </c>
      <c r="H42" s="58">
        <f t="shared" si="1"/>
        <v>2.8753406289199361</v>
      </c>
      <c r="I42" s="58">
        <f t="shared" si="2"/>
        <v>2.645010597344176</v>
      </c>
      <c r="J42" s="58">
        <f t="shared" si="3"/>
        <v>5.5203512262641121</v>
      </c>
      <c r="K42" s="42">
        <f>VLOOKUP(B42,'Interactive pyramid data'!$B$2:$BJ$31,4,FALSE)</f>
        <v>84755</v>
      </c>
      <c r="L42" s="42">
        <f>VLOOKUP(B42,'Interactive pyramid data'!$B$2:$BJ$31,24,FALSE)</f>
        <v>80198</v>
      </c>
      <c r="M42" s="42">
        <f t="shared" si="4"/>
        <v>164953</v>
      </c>
      <c r="N42" s="58">
        <f t="shared" si="5"/>
        <v>2.7348385943468494</v>
      </c>
      <c r="O42" s="58">
        <f t="shared" si="6"/>
        <v>2.587795240274068</v>
      </c>
      <c r="P42" s="59">
        <f t="shared" si="7"/>
        <v>5.322633834620917</v>
      </c>
      <c r="Q42" s="44"/>
      <c r="X42" s="1"/>
    </row>
    <row r="43" spans="1:24">
      <c r="A43" s="39"/>
      <c r="B43" s="65" t="s">
        <v>19</v>
      </c>
      <c r="C43" s="42" t="str">
        <f>'ALL CONTROLS'!$C$35</f>
        <v>Monmouthshire</v>
      </c>
      <c r="D43" s="43" t="s">
        <v>101</v>
      </c>
      <c r="E43" s="42">
        <f>VLOOKUP(C43,'Interactive pyramid data'!$B$2:$BJ$31,5,FALSE)</f>
        <v>2826</v>
      </c>
      <c r="F43" s="42">
        <f>VLOOKUP(C43,'Interactive pyramid data'!$B$2:$BJ$31,25,FALSE)</f>
        <v>2638</v>
      </c>
      <c r="G43" s="57">
        <f t="shared" si="0"/>
        <v>5464</v>
      </c>
      <c r="H43" s="58">
        <f t="shared" si="1"/>
        <v>3.0559280245685367</v>
      </c>
      <c r="I43" s="58">
        <f t="shared" si="2"/>
        <v>2.8526320342575371</v>
      </c>
      <c r="J43" s="58">
        <f t="shared" si="3"/>
        <v>5.9085600588260743</v>
      </c>
      <c r="K43" s="42">
        <f>VLOOKUP(B43,'Interactive pyramid data'!$B$2:$BJ$31,5,FALSE)</f>
        <v>95847</v>
      </c>
      <c r="L43" s="42">
        <f>VLOOKUP(B43,'Interactive pyramid data'!$B$2:$BJ$31,25,FALSE)</f>
        <v>90144</v>
      </c>
      <c r="M43" s="42">
        <f t="shared" si="4"/>
        <v>185991</v>
      </c>
      <c r="N43" s="58">
        <f t="shared" si="5"/>
        <v>3.0927505722655004</v>
      </c>
      <c r="O43" s="58">
        <f t="shared" si="6"/>
        <v>2.9087285735213544</v>
      </c>
      <c r="P43" s="59">
        <f t="shared" si="7"/>
        <v>6.0014791457868544</v>
      </c>
      <c r="Q43" s="44"/>
      <c r="X43" s="1"/>
    </row>
    <row r="44" spans="1:24">
      <c r="A44" s="39"/>
      <c r="B44" s="65" t="s">
        <v>19</v>
      </c>
      <c r="C44" s="42" t="str">
        <f>'ALL CONTROLS'!$C$35</f>
        <v>Monmouthshire</v>
      </c>
      <c r="D44" s="43" t="s">
        <v>102</v>
      </c>
      <c r="E44" s="42">
        <f>VLOOKUP(C44,'Interactive pyramid data'!$B$2:$BJ$31,6,FALSE)</f>
        <v>2424</v>
      </c>
      <c r="F44" s="42">
        <f>VLOOKUP(C44,'Interactive pyramid data'!$B$2:$BJ$31,26,FALSE)</f>
        <v>2004</v>
      </c>
      <c r="G44" s="57">
        <f t="shared" si="0"/>
        <v>4428</v>
      </c>
      <c r="H44" s="58">
        <f t="shared" si="1"/>
        <v>2.6212206410311865</v>
      </c>
      <c r="I44" s="58">
        <f t="shared" si="2"/>
        <v>2.1670487477832086</v>
      </c>
      <c r="J44" s="58">
        <f t="shared" si="3"/>
        <v>4.7882693888143955</v>
      </c>
      <c r="K44" s="42">
        <f>VLOOKUP(B44,'Interactive pyramid data'!$B$2:$BJ$31,6,FALSE)</f>
        <v>110609</v>
      </c>
      <c r="L44" s="42">
        <f>VLOOKUP(B44,'Interactive pyramid data'!$B$2:$BJ$31,26,FALSE)</f>
        <v>103605</v>
      </c>
      <c r="M44" s="42">
        <f t="shared" si="4"/>
        <v>214214</v>
      </c>
      <c r="N44" s="58">
        <f t="shared" si="5"/>
        <v>3.569084562351609</v>
      </c>
      <c r="O44" s="58">
        <f t="shared" si="6"/>
        <v>3.3430824443077731</v>
      </c>
      <c r="P44" s="59">
        <f t="shared" si="7"/>
        <v>6.9121670066593826</v>
      </c>
      <c r="Q44" s="44"/>
      <c r="X44" s="1"/>
    </row>
    <row r="45" spans="1:24">
      <c r="A45" s="39"/>
      <c r="B45" s="65" t="s">
        <v>19</v>
      </c>
      <c r="C45" s="42" t="str">
        <f>'ALL CONTROLS'!$C$35</f>
        <v>Monmouthshire</v>
      </c>
      <c r="D45" s="43" t="s">
        <v>103</v>
      </c>
      <c r="E45" s="42">
        <f>VLOOKUP(C45,'Interactive pyramid data'!$B$2:$BJ$31,7,FALSE)</f>
        <v>2274</v>
      </c>
      <c r="F45" s="42">
        <f>VLOOKUP(C45,'Interactive pyramid data'!$B$2:$BJ$31,27,FALSE)</f>
        <v>2013</v>
      </c>
      <c r="G45" s="57">
        <f t="shared" si="0"/>
        <v>4287</v>
      </c>
      <c r="H45" s="58">
        <f t="shared" si="1"/>
        <v>2.459016393442623</v>
      </c>
      <c r="I45" s="58">
        <f t="shared" si="2"/>
        <v>2.1767810026385224</v>
      </c>
      <c r="J45" s="58">
        <f t="shared" si="3"/>
        <v>4.6357973960811458</v>
      </c>
      <c r="K45" s="42">
        <f>VLOOKUP(B45,'Interactive pyramid data'!$B$2:$BJ$31,7,FALSE)</f>
        <v>99318</v>
      </c>
      <c r="L45" s="42">
        <f>VLOOKUP(B45,'Interactive pyramid data'!$B$2:$BJ$31,27,FALSE)</f>
        <v>95737</v>
      </c>
      <c r="M45" s="42">
        <f t="shared" si="4"/>
        <v>195055</v>
      </c>
      <c r="N45" s="58">
        <f t="shared" si="5"/>
        <v>3.204751336361753</v>
      </c>
      <c r="O45" s="58">
        <f t="shared" si="6"/>
        <v>3.0892011386583014</v>
      </c>
      <c r="P45" s="59">
        <f t="shared" si="7"/>
        <v>6.2939524750200535</v>
      </c>
      <c r="Q45" s="44"/>
      <c r="X45" s="1"/>
    </row>
    <row r="46" spans="1:24">
      <c r="A46" s="39"/>
      <c r="B46" s="65" t="s">
        <v>19</v>
      </c>
      <c r="C46" s="42" t="str">
        <f>'ALL CONTROLS'!$C$35</f>
        <v>Monmouthshire</v>
      </c>
      <c r="D46" s="43" t="s">
        <v>104</v>
      </c>
      <c r="E46" s="42">
        <f>VLOOKUP(C46,'Interactive pyramid data'!$B$2:$BJ$31,8,FALSE)</f>
        <v>1972</v>
      </c>
      <c r="F46" s="42">
        <f>VLOOKUP(C46,'Interactive pyramid data'!$B$2:$BJ$31,28,FALSE)</f>
        <v>2034</v>
      </c>
      <c r="G46" s="57">
        <f t="shared" si="0"/>
        <v>4006</v>
      </c>
      <c r="H46" s="58">
        <f t="shared" si="1"/>
        <v>2.1324451749643152</v>
      </c>
      <c r="I46" s="58">
        <f t="shared" si="2"/>
        <v>2.199489597300921</v>
      </c>
      <c r="J46" s="58">
        <f t="shared" si="3"/>
        <v>4.3319347722652362</v>
      </c>
      <c r="K46" s="42">
        <f>VLOOKUP(B46,'Interactive pyramid data'!$B$2:$BJ$31,8,FALSE)</f>
        <v>90712</v>
      </c>
      <c r="L46" s="42">
        <f>VLOOKUP(B46,'Interactive pyramid data'!$B$2:$BJ$31,28,FALSE)</f>
        <v>91253</v>
      </c>
      <c r="M46" s="42">
        <f t="shared" si="4"/>
        <v>181965</v>
      </c>
      <c r="N46" s="58">
        <f t="shared" si="5"/>
        <v>2.9270565579658006</v>
      </c>
      <c r="O46" s="58">
        <f t="shared" si="6"/>
        <v>2.9445133177975698</v>
      </c>
      <c r="P46" s="59">
        <f t="shared" si="7"/>
        <v>5.8715698757633703</v>
      </c>
      <c r="Q46" s="44"/>
      <c r="X46" s="1"/>
    </row>
    <row r="47" spans="1:24">
      <c r="A47" s="39"/>
      <c r="B47" s="65" t="s">
        <v>19</v>
      </c>
      <c r="C47" s="42" t="str">
        <f>'ALL CONTROLS'!$C$35</f>
        <v>Monmouthshire</v>
      </c>
      <c r="D47" s="43" t="s">
        <v>105</v>
      </c>
      <c r="E47" s="42">
        <f>VLOOKUP(C47,'Interactive pyramid data'!$B$2:$BJ$31,9,FALSE)</f>
        <v>2074</v>
      </c>
      <c r="F47" s="42">
        <f>VLOOKUP(C47,'Interactive pyramid data'!$B$2:$BJ$31,29,FALSE)</f>
        <v>2324</v>
      </c>
      <c r="G47" s="57">
        <f t="shared" si="0"/>
        <v>4398</v>
      </c>
      <c r="H47" s="58">
        <f t="shared" si="1"/>
        <v>2.2427440633245381</v>
      </c>
      <c r="I47" s="58">
        <f t="shared" si="2"/>
        <v>2.513084475972144</v>
      </c>
      <c r="J47" s="58">
        <f t="shared" si="3"/>
        <v>4.7558285392966821</v>
      </c>
      <c r="K47" s="42">
        <f>VLOOKUP(B47,'Interactive pyramid data'!$B$2:$BJ$31,9,FALSE)</f>
        <v>84687</v>
      </c>
      <c r="L47" s="42">
        <f>VLOOKUP(B47,'Interactive pyramid data'!$B$2:$BJ$31,29,FALSE)</f>
        <v>85988</v>
      </c>
      <c r="M47" s="42">
        <f t="shared" si="4"/>
        <v>170675</v>
      </c>
      <c r="N47" s="58">
        <f t="shared" si="5"/>
        <v>2.7326443990260354</v>
      </c>
      <c r="O47" s="58">
        <f t="shared" si="6"/>
        <v>2.7746245183257257</v>
      </c>
      <c r="P47" s="59">
        <f t="shared" si="7"/>
        <v>5.5072689173517615</v>
      </c>
      <c r="Q47" s="44"/>
      <c r="X47" s="1"/>
    </row>
    <row r="48" spans="1:24">
      <c r="A48" s="39"/>
      <c r="B48" s="65" t="s">
        <v>19</v>
      </c>
      <c r="C48" s="42" t="str">
        <f>'ALL CONTROLS'!$C$35</f>
        <v>Monmouthshire</v>
      </c>
      <c r="D48" s="43" t="s">
        <v>106</v>
      </c>
      <c r="E48" s="42">
        <f>VLOOKUP(C48,'Interactive pyramid data'!$B$2:$BJ$31,10,FALSE)</f>
        <v>2690</v>
      </c>
      <c r="F48" s="42">
        <f>VLOOKUP(C48,'Interactive pyramid data'!$B$2:$BJ$31,30,FALSE)</f>
        <v>2991</v>
      </c>
      <c r="G48" s="57">
        <f t="shared" si="0"/>
        <v>5681</v>
      </c>
      <c r="H48" s="58">
        <f t="shared" si="1"/>
        <v>2.908862840088239</v>
      </c>
      <c r="I48" s="58">
        <f t="shared" si="2"/>
        <v>3.2343526969159564</v>
      </c>
      <c r="J48" s="58">
        <f t="shared" si="3"/>
        <v>6.1432155370041954</v>
      </c>
      <c r="K48" s="42">
        <f>VLOOKUP(B48,'Interactive pyramid data'!$B$2:$BJ$31,10,FALSE)</f>
        <v>93073</v>
      </c>
      <c r="L48" s="42">
        <f>VLOOKUP(B48,'Interactive pyramid data'!$B$2:$BJ$31,30,FALSE)</f>
        <v>96809</v>
      </c>
      <c r="M48" s="42">
        <f t="shared" si="4"/>
        <v>189882</v>
      </c>
      <c r="N48" s="58">
        <f t="shared" si="5"/>
        <v>3.0032403102075902</v>
      </c>
      <c r="O48" s="58">
        <f t="shared" si="6"/>
        <v>3.1237919825393679</v>
      </c>
      <c r="P48" s="59">
        <f t="shared" si="7"/>
        <v>6.127032292746958</v>
      </c>
      <c r="Q48" s="44"/>
      <c r="X48" s="1"/>
    </row>
    <row r="49" spans="1:24">
      <c r="A49" s="39"/>
      <c r="B49" s="65" t="s">
        <v>19</v>
      </c>
      <c r="C49" s="42" t="str">
        <f>'ALL CONTROLS'!$C$35</f>
        <v>Monmouthshire</v>
      </c>
      <c r="D49" s="43" t="s">
        <v>107</v>
      </c>
      <c r="E49" s="42">
        <f>VLOOKUP(C49,'Interactive pyramid data'!$B$2:$BJ$31,11,FALSE)</f>
        <v>3620</v>
      </c>
      <c r="F49" s="42">
        <f>VLOOKUP(C49,'Interactive pyramid data'!$B$2:$BJ$31,31,FALSE)</f>
        <v>3709</v>
      </c>
      <c r="G49" s="57">
        <f t="shared" si="0"/>
        <v>7329</v>
      </c>
      <c r="H49" s="58">
        <f t="shared" si="1"/>
        <v>3.914529175137333</v>
      </c>
      <c r="I49" s="58">
        <f t="shared" si="2"/>
        <v>4.0107703620398807</v>
      </c>
      <c r="J49" s="58">
        <f t="shared" si="3"/>
        <v>7.9252995371772137</v>
      </c>
      <c r="K49" s="42">
        <f>VLOOKUP(B49,'Interactive pyramid data'!$B$2:$BJ$31,11,FALSE)</f>
        <v>104647</v>
      </c>
      <c r="L49" s="42">
        <f>VLOOKUP(B49,'Interactive pyramid data'!$B$2:$BJ$31,31,FALSE)</f>
        <v>109452</v>
      </c>
      <c r="M49" s="42">
        <f t="shared" si="4"/>
        <v>214099</v>
      </c>
      <c r="N49" s="58">
        <f t="shared" si="5"/>
        <v>3.3767052608414221</v>
      </c>
      <c r="O49" s="58">
        <f t="shared" si="6"/>
        <v>3.5317509743195252</v>
      </c>
      <c r="P49" s="59">
        <f t="shared" si="7"/>
        <v>6.9084562351609478</v>
      </c>
      <c r="Q49" s="44"/>
      <c r="X49" s="1"/>
    </row>
    <row r="50" spans="1:24">
      <c r="A50" s="39"/>
      <c r="B50" s="65" t="s">
        <v>19</v>
      </c>
      <c r="C50" s="42" t="str">
        <f>'ALL CONTROLS'!$C$35</f>
        <v>Monmouthshire</v>
      </c>
      <c r="D50" s="43" t="s">
        <v>108</v>
      </c>
      <c r="E50" s="42">
        <f>VLOOKUP(C50,'Interactive pyramid data'!$B$2:$BJ$31,12,FALSE)</f>
        <v>3793</v>
      </c>
      <c r="F50" s="42">
        <f>VLOOKUP(C50,'Interactive pyramid data'!$B$2:$BJ$31,32,FALSE)</f>
        <v>3921</v>
      </c>
      <c r="G50" s="57">
        <f t="shared" si="0"/>
        <v>7714</v>
      </c>
      <c r="H50" s="58">
        <f t="shared" si="1"/>
        <v>4.101604740689476</v>
      </c>
      <c r="I50" s="58">
        <f t="shared" si="2"/>
        <v>4.2400190319650504</v>
      </c>
      <c r="J50" s="58">
        <f t="shared" si="3"/>
        <v>8.3416237726545273</v>
      </c>
      <c r="K50" s="42">
        <f>VLOOKUP(B50,'Interactive pyramid data'!$B$2:$BJ$31,12,FALSE)</f>
        <v>107634</v>
      </c>
      <c r="L50" s="42">
        <f>VLOOKUP(B50,'Interactive pyramid data'!$B$2:$BJ$31,32,FALSE)</f>
        <v>112023</v>
      </c>
      <c r="M50" s="42">
        <f t="shared" si="4"/>
        <v>219657</v>
      </c>
      <c r="N50" s="58">
        <f t="shared" si="5"/>
        <v>3.4730885170659995</v>
      </c>
      <c r="O50" s="58">
        <f t="shared" si="6"/>
        <v>3.6147109179932406</v>
      </c>
      <c r="P50" s="59">
        <f t="shared" si="7"/>
        <v>7.0877994350592406</v>
      </c>
      <c r="Q50" s="44"/>
      <c r="X50" s="1"/>
    </row>
    <row r="51" spans="1:24">
      <c r="A51" s="39"/>
      <c r="B51" s="65" t="s">
        <v>19</v>
      </c>
      <c r="C51" s="42" t="str">
        <f>'ALL CONTROLS'!$C$35</f>
        <v>Monmouthshire</v>
      </c>
      <c r="D51" s="43" t="s">
        <v>109</v>
      </c>
      <c r="E51" s="42">
        <f>VLOOKUP(C51,'Interactive pyramid data'!$B$2:$BJ$31,13,FALSE)</f>
        <v>3192</v>
      </c>
      <c r="F51" s="42">
        <f>VLOOKUP(C51,'Interactive pyramid data'!$B$2:$BJ$31,33,FALSE)</f>
        <v>3302</v>
      </c>
      <c r="G51" s="57">
        <f t="shared" si="0"/>
        <v>6494</v>
      </c>
      <c r="H51" s="58">
        <f t="shared" si="1"/>
        <v>3.4517063886846318</v>
      </c>
      <c r="I51" s="58">
        <f t="shared" si="2"/>
        <v>3.570656170249578</v>
      </c>
      <c r="J51" s="58">
        <f t="shared" si="3"/>
        <v>7.0223625589342102</v>
      </c>
      <c r="K51" s="42">
        <f>VLOOKUP(B51,'Interactive pyramid data'!$B$2:$BJ$31,13,FALSE)</f>
        <v>96391</v>
      </c>
      <c r="L51" s="42">
        <f>VLOOKUP(B51,'Interactive pyramid data'!$B$2:$BJ$31,33,FALSE)</f>
        <v>100784</v>
      </c>
      <c r="M51" s="42">
        <f t="shared" si="4"/>
        <v>197175</v>
      </c>
      <c r="N51" s="58">
        <f t="shared" si="5"/>
        <v>3.1103041348320115</v>
      </c>
      <c r="O51" s="58">
        <f t="shared" si="6"/>
        <v>3.2520556060722421</v>
      </c>
      <c r="P51" s="59">
        <f t="shared" si="7"/>
        <v>6.362359740904254</v>
      </c>
      <c r="Q51" s="44"/>
      <c r="X51" s="1"/>
    </row>
    <row r="52" spans="1:24">
      <c r="A52" s="39"/>
      <c r="B52" s="65" t="s">
        <v>19</v>
      </c>
      <c r="C52" s="42" t="str">
        <f>'ALL CONTROLS'!$C$35</f>
        <v>Monmouthshire</v>
      </c>
      <c r="D52" s="43" t="s">
        <v>110</v>
      </c>
      <c r="E52" s="42">
        <f>VLOOKUP(C52,'Interactive pyramid data'!$B$2:$BJ$31,14,FALSE)</f>
        <v>3126</v>
      </c>
      <c r="F52" s="42">
        <f>VLOOKUP(C52,'Interactive pyramid data'!$B$2:$BJ$31,34,FALSE)</f>
        <v>3296</v>
      </c>
      <c r="G52" s="57">
        <f t="shared" si="0"/>
        <v>6422</v>
      </c>
      <c r="H52" s="58">
        <f t="shared" si="1"/>
        <v>3.3803365197456636</v>
      </c>
      <c r="I52" s="58">
        <f t="shared" si="2"/>
        <v>3.5641680003460361</v>
      </c>
      <c r="J52" s="58">
        <f t="shared" si="3"/>
        <v>6.9445045200916988</v>
      </c>
      <c r="K52" s="42">
        <f>VLOOKUP(B52,'Interactive pyramid data'!$B$2:$BJ$31,14,FALSE)</f>
        <v>90266</v>
      </c>
      <c r="L52" s="42">
        <f>VLOOKUP(B52,'Interactive pyramid data'!$B$2:$BJ$31,34,FALSE)</f>
        <v>94656</v>
      </c>
      <c r="M52" s="42">
        <f t="shared" si="4"/>
        <v>184922</v>
      </c>
      <c r="N52" s="58">
        <f t="shared" si="5"/>
        <v>2.9126652180675205</v>
      </c>
      <c r="O52" s="58">
        <f t="shared" si="6"/>
        <v>3.0543198865730088</v>
      </c>
      <c r="P52" s="59">
        <f t="shared" si="7"/>
        <v>5.9669851046405293</v>
      </c>
      <c r="Q52" s="44"/>
      <c r="X52" s="1"/>
    </row>
    <row r="53" spans="1:24">
      <c r="A53" s="39"/>
      <c r="B53" s="65" t="s">
        <v>19</v>
      </c>
      <c r="C53" s="42" t="str">
        <f>'ALL CONTROLS'!$C$35</f>
        <v>Monmouthshire</v>
      </c>
      <c r="D53" s="43" t="s">
        <v>111</v>
      </c>
      <c r="E53" s="42">
        <f>VLOOKUP(C53,'Interactive pyramid data'!$B$2:$BJ$31,15,FALSE)</f>
        <v>3324</v>
      </c>
      <c r="F53" s="42">
        <f>VLOOKUP(C53,'Interactive pyramid data'!$B$2:$BJ$31,35,FALSE)</f>
        <v>3451</v>
      </c>
      <c r="G53" s="57">
        <f t="shared" si="0"/>
        <v>6775</v>
      </c>
      <c r="H53" s="58">
        <f t="shared" si="1"/>
        <v>3.594446126562568</v>
      </c>
      <c r="I53" s="58">
        <f t="shared" si="2"/>
        <v>3.7317790561875515</v>
      </c>
      <c r="J53" s="58">
        <f t="shared" si="3"/>
        <v>7.326225182750119</v>
      </c>
      <c r="K53" s="42">
        <f>VLOOKUP(B53,'Interactive pyramid data'!$B$2:$BJ$31,15,FALSE)</f>
        <v>95762</v>
      </c>
      <c r="L53" s="42">
        <f>VLOOKUP(B53,'Interactive pyramid data'!$B$2:$BJ$31,35,FALSE)</f>
        <v>99924</v>
      </c>
      <c r="M53" s="42">
        <f t="shared" si="4"/>
        <v>195686</v>
      </c>
      <c r="N53" s="58">
        <f t="shared" si="5"/>
        <v>3.0900078281144827</v>
      </c>
      <c r="O53" s="58">
        <f t="shared" si="6"/>
        <v>3.2243054887795948</v>
      </c>
      <c r="P53" s="59">
        <f t="shared" si="7"/>
        <v>6.3143133168940784</v>
      </c>
      <c r="Q53" s="44"/>
      <c r="X53" s="1"/>
    </row>
    <row r="54" spans="1:24">
      <c r="A54" s="39"/>
      <c r="B54" s="65" t="s">
        <v>19</v>
      </c>
      <c r="C54" s="42" t="str">
        <f>'ALL CONTROLS'!$C$35</f>
        <v>Monmouthshire</v>
      </c>
      <c r="D54" s="43" t="s">
        <v>112</v>
      </c>
      <c r="E54" s="42">
        <f>VLOOKUP(C54,'Interactive pyramid data'!$B$2:$BJ$31,16,FALSE)</f>
        <v>2554</v>
      </c>
      <c r="F54" s="42">
        <f>VLOOKUP(C54,'Interactive pyramid data'!$B$2:$BJ$31,36,FALSE)</f>
        <v>2721</v>
      </c>
      <c r="G54" s="57">
        <f t="shared" si="0"/>
        <v>5275</v>
      </c>
      <c r="H54" s="58">
        <f t="shared" si="1"/>
        <v>2.7617976556079413</v>
      </c>
      <c r="I54" s="58">
        <f t="shared" si="2"/>
        <v>2.9423850512565424</v>
      </c>
      <c r="J54" s="58">
        <f t="shared" si="3"/>
        <v>5.7041827068644837</v>
      </c>
      <c r="K54" s="42">
        <f>VLOOKUP(B54,'Interactive pyramid data'!$B$2:$BJ$31,16,FALSE)</f>
        <v>72385</v>
      </c>
      <c r="L54" s="42">
        <f>VLOOKUP(B54,'Interactive pyramid data'!$B$2:$BJ$31,36,FALSE)</f>
        <v>78026</v>
      </c>
      <c r="M54" s="42">
        <f t="shared" si="4"/>
        <v>150411</v>
      </c>
      <c r="N54" s="58">
        <f t="shared" si="5"/>
        <v>2.3356886514281956</v>
      </c>
      <c r="O54" s="58">
        <f t="shared" si="6"/>
        <v>2.517710060321011</v>
      </c>
      <c r="P54" s="59">
        <f t="shared" si="7"/>
        <v>4.8533987117492057</v>
      </c>
      <c r="Q54" s="44"/>
      <c r="X54" s="1"/>
    </row>
    <row r="55" spans="1:24">
      <c r="A55" s="39"/>
      <c r="B55" s="65" t="s">
        <v>19</v>
      </c>
      <c r="C55" s="42" t="str">
        <f>'ALL CONTROLS'!$C$35</f>
        <v>Monmouthshire</v>
      </c>
      <c r="D55" s="43" t="s">
        <v>113</v>
      </c>
      <c r="E55" s="42">
        <f>VLOOKUP(C55,'Interactive pyramid data'!$B$2:$BJ$31,17,FALSE)</f>
        <v>1835</v>
      </c>
      <c r="F55" s="42">
        <f>VLOOKUP(C55,'Interactive pyramid data'!$B$2:$BJ$31,37,FALSE)</f>
        <v>2080</v>
      </c>
      <c r="G55" s="57">
        <f t="shared" si="0"/>
        <v>3915</v>
      </c>
      <c r="H55" s="58">
        <f t="shared" si="1"/>
        <v>1.984298628833427</v>
      </c>
      <c r="I55" s="58">
        <f t="shared" si="2"/>
        <v>2.249232233228081</v>
      </c>
      <c r="J55" s="58">
        <f t="shared" si="3"/>
        <v>4.2335308620615075</v>
      </c>
      <c r="K55" s="42">
        <f>VLOOKUP(B55,'Interactive pyramid data'!$B$2:$BJ$31,17,FALSE)</f>
        <v>53621</v>
      </c>
      <c r="L55" s="42">
        <f>VLOOKUP(B55,'Interactive pyramid data'!$B$2:$BJ$31,37,FALSE)</f>
        <v>61820</v>
      </c>
      <c r="M55" s="42">
        <f t="shared" si="4"/>
        <v>115441</v>
      </c>
      <c r="N55" s="58">
        <f t="shared" si="5"/>
        <v>1.7302198131965361</v>
      </c>
      <c r="O55" s="58">
        <f t="shared" si="6"/>
        <v>1.9947816872458526</v>
      </c>
      <c r="P55" s="59">
        <f t="shared" si="7"/>
        <v>3.7250015004423882</v>
      </c>
      <c r="Q55" s="44"/>
      <c r="X55" s="1"/>
    </row>
    <row r="56" spans="1:24">
      <c r="A56" s="39"/>
      <c r="B56" s="65" t="s">
        <v>19</v>
      </c>
      <c r="C56" s="42" t="str">
        <f>'ALL CONTROLS'!$C$35</f>
        <v>Monmouthshire</v>
      </c>
      <c r="D56" s="43" t="s">
        <v>114</v>
      </c>
      <c r="E56" s="42">
        <f>VLOOKUP(C56,'Interactive pyramid data'!$B$2:$BJ$31,18,FALSE)</f>
        <v>1430</v>
      </c>
      <c r="F56" s="42">
        <f>VLOOKUP(C56,'Interactive pyramid data'!$B$2:$BJ$31,38,FALSE)</f>
        <v>1606</v>
      </c>
      <c r="G56" s="57">
        <f t="shared" si="0"/>
        <v>3036</v>
      </c>
      <c r="H56" s="58">
        <f t="shared" si="1"/>
        <v>1.5463471603443055</v>
      </c>
      <c r="I56" s="58">
        <f t="shared" si="2"/>
        <v>1.7366668108482202</v>
      </c>
      <c r="J56" s="58">
        <f t="shared" si="3"/>
        <v>3.2830139711925255</v>
      </c>
      <c r="K56" s="42">
        <f>VLOOKUP(B56,'Interactive pyramid data'!$B$2:$BJ$31,18,FALSE)</f>
        <v>36258</v>
      </c>
      <c r="L56" s="42">
        <f>VLOOKUP(B56,'Interactive pyramid data'!$B$2:$BJ$31,38,FALSE)</f>
        <v>47676</v>
      </c>
      <c r="M56" s="42">
        <f t="shared" si="4"/>
        <v>83934</v>
      </c>
      <c r="N56" s="58">
        <f t="shared" si="5"/>
        <v>1.1699578520892935</v>
      </c>
      <c r="O56" s="58">
        <f t="shared" si="6"/>
        <v>1.5383890605165522</v>
      </c>
      <c r="P56" s="59">
        <f t="shared" si="7"/>
        <v>2.7083469126058457</v>
      </c>
      <c r="Q56" s="44"/>
      <c r="X56" s="1"/>
    </row>
    <row r="57" spans="1:24">
      <c r="A57" s="39"/>
      <c r="B57" s="65" t="s">
        <v>19</v>
      </c>
      <c r="C57" s="42" t="str">
        <f>'ALL CONTROLS'!$C$35</f>
        <v>Monmouthshire</v>
      </c>
      <c r="D57" s="43" t="s">
        <v>115</v>
      </c>
      <c r="E57" s="42">
        <f>VLOOKUP(C57,'Interactive pyramid data'!$B$2:$BJ$31,19,FALSE)</f>
        <v>671</v>
      </c>
      <c r="F57" s="42">
        <f>VLOOKUP(C57,'Interactive pyramid data'!$B$2:$BJ$31,39,FALSE)</f>
        <v>1093</v>
      </c>
      <c r="G57" s="57">
        <f t="shared" si="0"/>
        <v>1764</v>
      </c>
      <c r="H57" s="58">
        <f t="shared" si="1"/>
        <v>0.72559366754617416</v>
      </c>
      <c r="I57" s="58">
        <f t="shared" si="2"/>
        <v>1.1819282840953329</v>
      </c>
      <c r="J57" s="58">
        <f t="shared" si="3"/>
        <v>1.9075219516415072</v>
      </c>
      <c r="K57" s="42">
        <f>VLOOKUP(B57,'Interactive pyramid data'!$B$2:$BJ$31,19,FALSE)</f>
        <v>19077</v>
      </c>
      <c r="L57" s="42">
        <f>VLOOKUP(B57,'Interactive pyramid data'!$B$2:$BJ$31,39,FALSE)</f>
        <v>31162</v>
      </c>
      <c r="M57" s="42">
        <f t="shared" si="4"/>
        <v>50239</v>
      </c>
      <c r="N57" s="58">
        <f t="shared" si="5"/>
        <v>0.61556859022305288</v>
      </c>
      <c r="O57" s="58">
        <f t="shared" si="6"/>
        <v>1.0055222733412368</v>
      </c>
      <c r="P57" s="59">
        <f t="shared" si="7"/>
        <v>1.6210908635642896</v>
      </c>
      <c r="Q57" s="44"/>
      <c r="X57" s="1"/>
    </row>
    <row r="58" spans="1:24">
      <c r="A58" s="39"/>
      <c r="B58" s="40" t="s">
        <v>19</v>
      </c>
      <c r="C58" s="42" t="str">
        <f>'ALL CONTROLS'!$C$35</f>
        <v>Monmouthshire</v>
      </c>
      <c r="D58" s="43" t="s">
        <v>121</v>
      </c>
      <c r="E58" s="42">
        <f>VLOOKUP(C58,'Interactive pyramid data'!$B$2:$BJ$31,20,FALSE)</f>
        <v>314</v>
      </c>
      <c r="F58" s="42">
        <f>VLOOKUP(C58,'Interactive pyramid data'!$B$2:$BJ$31,40,FALSE)</f>
        <v>792</v>
      </c>
      <c r="G58" s="57">
        <f t="shared" si="0"/>
        <v>1106</v>
      </c>
      <c r="H58" s="58">
        <f t="shared" si="1"/>
        <v>0.33954755828539296</v>
      </c>
      <c r="I58" s="58">
        <f t="shared" si="2"/>
        <v>0.85643842726761532</v>
      </c>
      <c r="J58" s="58">
        <f t="shared" si="3"/>
        <v>1.1959859855530084</v>
      </c>
      <c r="K58" s="42">
        <f>VLOOKUP(B58,'Interactive pyramid data'!$B$2:$BJ$31,20,FALSE)</f>
        <v>8285</v>
      </c>
      <c r="L58" s="42">
        <f>VLOOKUP(B58,'Interactive pyramid data'!$B$2:$BJ$31,40,FALSE)</f>
        <v>20777</v>
      </c>
      <c r="M58" s="57">
        <f t="shared" si="4"/>
        <v>29062</v>
      </c>
      <c r="N58" s="58">
        <f t="shared" si="5"/>
        <v>0.26733688577858117</v>
      </c>
      <c r="O58" s="58">
        <f>L58/SUM($M$40:$M$58)*100</f>
        <v>0.67042347324340146</v>
      </c>
      <c r="P58" s="59">
        <f t="shared" si="7"/>
        <v>0.93776035902198263</v>
      </c>
      <c r="Q58" s="44"/>
      <c r="X58" s="1"/>
    </row>
    <row r="59" spans="1:24" ht="15" thickBot="1">
      <c r="A59" s="39"/>
      <c r="B59" s="45"/>
      <c r="C59" s="47"/>
      <c r="D59" s="61" t="s">
        <v>200</v>
      </c>
      <c r="E59" s="62">
        <f t="shared" ref="E59:P59" si="8">SUM(E40:E58)</f>
        <v>45497</v>
      </c>
      <c r="F59" s="62">
        <f t="shared" si="8"/>
        <v>46979</v>
      </c>
      <c r="G59" s="62">
        <f t="shared" si="8"/>
        <v>92476</v>
      </c>
      <c r="H59" s="62">
        <f t="shared" si="8"/>
        <v>49.198711016912497</v>
      </c>
      <c r="I59" s="62">
        <f t="shared" si="8"/>
        <v>50.801288983087495</v>
      </c>
      <c r="J59" s="62">
        <f t="shared" si="8"/>
        <v>100.00000000000001</v>
      </c>
      <c r="K59" s="62">
        <f t="shared" si="8"/>
        <v>1525561</v>
      </c>
      <c r="L59" s="62">
        <f t="shared" si="8"/>
        <v>1573525</v>
      </c>
      <c r="M59" s="62">
        <f t="shared" si="8"/>
        <v>3099086</v>
      </c>
      <c r="N59" s="62">
        <f t="shared" si="8"/>
        <v>49.226158938474128</v>
      </c>
      <c r="O59" s="62">
        <f t="shared" si="8"/>
        <v>50.773841061525879</v>
      </c>
      <c r="P59" s="67">
        <f t="shared" si="8"/>
        <v>100</v>
      </c>
      <c r="Q59" s="44"/>
      <c r="X59" s="1"/>
    </row>
    <row r="60" spans="1:24" ht="15" thickBot="1">
      <c r="A60" s="39"/>
      <c r="B60" s="42"/>
      <c r="C60" s="42"/>
      <c r="D60" s="42"/>
      <c r="E60" s="42"/>
      <c r="F60" s="42"/>
      <c r="G60" s="42"/>
      <c r="H60" s="47"/>
      <c r="I60" s="42"/>
      <c r="J60" s="42"/>
      <c r="K60" s="42"/>
      <c r="L60" s="73">
        <f>L58+96</f>
        <v>20873</v>
      </c>
      <c r="M60" s="73">
        <f>SUM(L60,K58)</f>
        <v>29158</v>
      </c>
      <c r="N60" s="42"/>
      <c r="O60" s="74">
        <f>L60/SUM(M40:M57,M60)*100</f>
        <v>0.67350029782052168</v>
      </c>
      <c r="P60" s="42"/>
      <c r="Q60" s="44"/>
    </row>
    <row r="61" spans="1:24">
      <c r="A61" s="39"/>
      <c r="B61" s="50" t="s">
        <v>237</v>
      </c>
      <c r="C61" s="51"/>
      <c r="D61" s="51"/>
      <c r="E61" s="51"/>
      <c r="F61" s="51"/>
      <c r="G61" s="51"/>
      <c r="H61" s="42"/>
      <c r="I61" s="40"/>
      <c r="J61" s="42"/>
      <c r="K61" s="42"/>
      <c r="L61" s="42"/>
      <c r="M61" s="42"/>
      <c r="N61" s="42"/>
      <c r="O61" s="42"/>
      <c r="P61" s="42"/>
      <c r="Q61" s="44"/>
    </row>
    <row r="62" spans="1:24">
      <c r="A62" s="39"/>
      <c r="B62" s="54" t="s">
        <v>85</v>
      </c>
      <c r="C62" s="43" t="s">
        <v>116</v>
      </c>
      <c r="D62" s="43" t="s">
        <v>117</v>
      </c>
      <c r="E62" s="43" t="s">
        <v>118</v>
      </c>
      <c r="F62" s="43" t="s">
        <v>135</v>
      </c>
      <c r="G62" s="43" t="s">
        <v>136</v>
      </c>
      <c r="H62" s="56" t="s">
        <v>137</v>
      </c>
      <c r="I62" s="42"/>
      <c r="J62" s="57"/>
      <c r="K62" s="42"/>
      <c r="L62" s="42"/>
      <c r="M62" s="42"/>
      <c r="N62" s="42"/>
      <c r="O62" s="42"/>
      <c r="P62" s="42"/>
      <c r="Q62" s="44"/>
    </row>
    <row r="63" spans="1:24">
      <c r="A63" s="39"/>
      <c r="B63" s="54" t="s">
        <v>119</v>
      </c>
      <c r="C63" s="42">
        <v>2</v>
      </c>
      <c r="D63" s="58">
        <f>-'ALL CONTROLS'!E40/SUM('ALL CONTROLS'!$G$40:$G$58)*100</f>
        <v>-2.4254941822743197</v>
      </c>
      <c r="E63" s="58">
        <f>'ALL CONTROLS'!F40/SUM('ALL CONTROLS'!$G$40:$G$58)*100</f>
        <v>2.2827544443963839</v>
      </c>
      <c r="F63" s="58">
        <f>-'ALL CONTROLS'!K40/SUM('ALL CONTROLS'!$M$40:$M$58)*100</f>
        <v>-2.9065989133570351</v>
      </c>
      <c r="G63" s="58">
        <f>'ALL CONTROLS'!L40/SUM('ALL CONTROLS'!$M$40:$M$58)*100</f>
        <v>2.7699779870581196</v>
      </c>
      <c r="H63" s="63">
        <v>19</v>
      </c>
      <c r="I63" s="42"/>
      <c r="J63" s="42"/>
      <c r="K63" s="42"/>
      <c r="L63" s="42"/>
      <c r="M63" s="42"/>
      <c r="N63" s="42"/>
      <c r="O63" s="42"/>
      <c r="P63" s="42"/>
      <c r="Q63" s="44"/>
      <c r="X63" s="1"/>
    </row>
    <row r="64" spans="1:24">
      <c r="A64" s="39"/>
      <c r="B64" s="54" t="s">
        <v>120</v>
      </c>
      <c r="C64" s="42">
        <v>2</v>
      </c>
      <c r="D64" s="58">
        <f>-'ALL CONTROLS'!E41/SUM('ALL CONTROLS'!$G$40:$G$58)*100</f>
        <v>-2.6774514468618884</v>
      </c>
      <c r="E64" s="58">
        <f>'ALL CONTROLS'!F41/SUM('ALL CONTROLS'!$G$40:$G$58)*100</f>
        <v>2.6460919589947665</v>
      </c>
      <c r="F64" s="58">
        <f>-'ALL CONTROLS'!K41/SUM('ALL CONTROLS'!$M$40:$M$58)*100</f>
        <v>-2.9736509409548493</v>
      </c>
      <c r="G64" s="58">
        <f>'ALL CONTROLS'!L41/SUM('ALL CONTROLS'!$M$40:$M$58)*100</f>
        <v>2.8281564306379363</v>
      </c>
      <c r="H64" s="63">
        <v>18</v>
      </c>
      <c r="I64" s="42"/>
      <c r="J64" s="42"/>
      <c r="K64" s="68"/>
      <c r="L64" s="42"/>
      <c r="M64" s="42"/>
      <c r="N64" s="42"/>
      <c r="O64" s="42"/>
      <c r="P64" s="42"/>
      <c r="Q64" s="44"/>
      <c r="X64" s="1"/>
    </row>
    <row r="65" spans="1:24">
      <c r="A65" s="39"/>
      <c r="B65" s="54" t="s">
        <v>100</v>
      </c>
      <c r="C65" s="42">
        <v>2</v>
      </c>
      <c r="D65" s="58">
        <f>-'ALL CONTROLS'!E42/SUM('ALL CONTROLS'!$G$40:$G$58)*100</f>
        <v>-2.8753406289199361</v>
      </c>
      <c r="E65" s="58">
        <f>'ALL CONTROLS'!F42/SUM('ALL CONTROLS'!$G$40:$G$58)*100</f>
        <v>2.645010597344176</v>
      </c>
      <c r="F65" s="58">
        <f>-'ALL CONTROLS'!K42/SUM('ALL CONTROLS'!$M$40:$M$58)*100</f>
        <v>-2.7348385943468494</v>
      </c>
      <c r="G65" s="58">
        <f>'ALL CONTROLS'!L42/SUM('ALL CONTROLS'!$M$40:$M$58)*100</f>
        <v>2.587795240274068</v>
      </c>
      <c r="H65" s="63">
        <v>17</v>
      </c>
      <c r="I65" s="42"/>
      <c r="J65" s="42"/>
      <c r="K65" s="42"/>
      <c r="L65" s="42"/>
      <c r="M65" s="42"/>
      <c r="N65" s="42"/>
      <c r="O65" s="42"/>
      <c r="P65" s="42"/>
      <c r="Q65" s="44"/>
      <c r="X65" s="1"/>
    </row>
    <row r="66" spans="1:24">
      <c r="A66" s="39"/>
      <c r="B66" s="54" t="s">
        <v>101</v>
      </c>
      <c r="C66" s="42">
        <v>2</v>
      </c>
      <c r="D66" s="58">
        <f>-'ALL CONTROLS'!E43/SUM('ALL CONTROLS'!$G$40:$G$58)*100</f>
        <v>-3.0559280245685367</v>
      </c>
      <c r="E66" s="58">
        <f>'ALL CONTROLS'!F43/SUM('ALL CONTROLS'!$G$40:$G$58)*100</f>
        <v>2.8526320342575371</v>
      </c>
      <c r="F66" s="58">
        <f>-'ALL CONTROLS'!K43/SUM('ALL CONTROLS'!$M$40:$M$58)*100</f>
        <v>-3.0927505722655004</v>
      </c>
      <c r="G66" s="58">
        <f>'ALL CONTROLS'!L43/SUM('ALL CONTROLS'!$M$40:$M$58)*100</f>
        <v>2.9087285735213544</v>
      </c>
      <c r="H66" s="63">
        <v>16</v>
      </c>
      <c r="I66" s="42"/>
      <c r="J66" s="42"/>
      <c r="K66" s="42"/>
      <c r="L66" s="42"/>
      <c r="M66" s="42"/>
      <c r="N66" s="42"/>
      <c r="O66" s="42"/>
      <c r="P66" s="42"/>
      <c r="Q66" s="44"/>
      <c r="X66" s="1"/>
    </row>
    <row r="67" spans="1:24">
      <c r="A67" s="39"/>
      <c r="B67" s="54" t="s">
        <v>102</v>
      </c>
      <c r="C67" s="42">
        <v>2</v>
      </c>
      <c r="D67" s="58">
        <f>-'ALL CONTROLS'!E44/SUM('ALL CONTROLS'!$G$40:$G$58)*100</f>
        <v>-2.6212206410311865</v>
      </c>
      <c r="E67" s="58">
        <f>'ALL CONTROLS'!F44/SUM('ALL CONTROLS'!$G$40:$G$58)*100</f>
        <v>2.1670487477832086</v>
      </c>
      <c r="F67" s="58">
        <f>-'ALL CONTROLS'!K44/SUM('ALL CONTROLS'!$M$40:$M$58)*100</f>
        <v>-3.569084562351609</v>
      </c>
      <c r="G67" s="58">
        <f>'ALL CONTROLS'!L44/SUM('ALL CONTROLS'!$M$40:$M$58)*100</f>
        <v>3.3430824443077731</v>
      </c>
      <c r="H67" s="63">
        <v>15</v>
      </c>
      <c r="I67" s="42"/>
      <c r="J67" s="42"/>
      <c r="K67" s="42"/>
      <c r="L67" s="42"/>
      <c r="M67" s="42"/>
      <c r="N67" s="42"/>
      <c r="O67" s="42"/>
      <c r="P67" s="42"/>
      <c r="Q67" s="44"/>
      <c r="X67" s="1"/>
    </row>
    <row r="68" spans="1:24">
      <c r="A68" s="39"/>
      <c r="B68" s="54" t="s">
        <v>103</v>
      </c>
      <c r="C68" s="42">
        <v>2</v>
      </c>
      <c r="D68" s="58">
        <f>-'ALL CONTROLS'!E45/SUM('ALL CONTROLS'!$G$40:$G$58)*100</f>
        <v>-2.459016393442623</v>
      </c>
      <c r="E68" s="58">
        <f>'ALL CONTROLS'!F45/SUM('ALL CONTROLS'!$G$40:$G$58)*100</f>
        <v>2.1767810026385224</v>
      </c>
      <c r="F68" s="58">
        <f>-'ALL CONTROLS'!K45/SUM('ALL CONTROLS'!$M$40:$M$58)*100</f>
        <v>-3.204751336361753</v>
      </c>
      <c r="G68" s="58">
        <f>'ALL CONTROLS'!L45/SUM('ALL CONTROLS'!$M$40:$M$58)*100</f>
        <v>3.0892011386583014</v>
      </c>
      <c r="H68" s="63">
        <v>14</v>
      </c>
      <c r="I68" s="42"/>
      <c r="J68" s="42"/>
      <c r="K68" s="42"/>
      <c r="L68" s="42"/>
      <c r="M68" s="42"/>
      <c r="N68" s="42"/>
      <c r="O68" s="42"/>
      <c r="P68" s="42"/>
      <c r="Q68" s="44"/>
      <c r="X68" s="1"/>
    </row>
    <row r="69" spans="1:24">
      <c r="A69" s="39"/>
      <c r="B69" s="54" t="s">
        <v>104</v>
      </c>
      <c r="C69" s="42">
        <v>2</v>
      </c>
      <c r="D69" s="58">
        <f>-'ALL CONTROLS'!E46/SUM('ALL CONTROLS'!$G$40:$G$58)*100</f>
        <v>-2.1324451749643152</v>
      </c>
      <c r="E69" s="58">
        <f>'ALL CONTROLS'!F46/SUM('ALL CONTROLS'!$G$40:$G$58)*100</f>
        <v>2.199489597300921</v>
      </c>
      <c r="F69" s="58">
        <f>-'ALL CONTROLS'!K46/SUM('ALL CONTROLS'!$M$40:$M$58)*100</f>
        <v>-2.9270565579658006</v>
      </c>
      <c r="G69" s="58">
        <f>'ALL CONTROLS'!L46/SUM('ALL CONTROLS'!$M$40:$M$58)*100</f>
        <v>2.9445133177975698</v>
      </c>
      <c r="H69" s="63">
        <v>13</v>
      </c>
      <c r="I69" s="42"/>
      <c r="J69" s="42"/>
      <c r="K69" s="42"/>
      <c r="L69" s="42"/>
      <c r="M69" s="42"/>
      <c r="N69" s="42"/>
      <c r="O69" s="42"/>
      <c r="P69" s="42"/>
      <c r="Q69" s="44"/>
      <c r="X69" s="1"/>
    </row>
    <row r="70" spans="1:24">
      <c r="A70" s="39"/>
      <c r="B70" s="54" t="s">
        <v>105</v>
      </c>
      <c r="C70" s="42">
        <v>2</v>
      </c>
      <c r="D70" s="58">
        <f>-'ALL CONTROLS'!E47/SUM('ALL CONTROLS'!$G$40:$G$58)*100</f>
        <v>-2.2427440633245381</v>
      </c>
      <c r="E70" s="58">
        <f>'ALL CONTROLS'!F47/SUM('ALL CONTROLS'!$G$40:$G$58)*100</f>
        <v>2.513084475972144</v>
      </c>
      <c r="F70" s="58">
        <f>-'ALL CONTROLS'!K47/SUM('ALL CONTROLS'!$M$40:$M$58)*100</f>
        <v>-2.7326443990260354</v>
      </c>
      <c r="G70" s="58">
        <f>'ALL CONTROLS'!L47/SUM('ALL CONTROLS'!$M$40:$M$58)*100</f>
        <v>2.7746245183257257</v>
      </c>
      <c r="H70" s="63">
        <v>12</v>
      </c>
      <c r="I70" s="42"/>
      <c r="J70" s="42"/>
      <c r="K70" s="42"/>
      <c r="L70" s="42"/>
      <c r="M70" s="42"/>
      <c r="N70" s="42"/>
      <c r="O70" s="42"/>
      <c r="P70" s="42"/>
      <c r="Q70" s="44"/>
      <c r="X70" s="1"/>
    </row>
    <row r="71" spans="1:24">
      <c r="A71" s="39"/>
      <c r="B71" s="54" t="s">
        <v>106</v>
      </c>
      <c r="C71" s="42">
        <v>2</v>
      </c>
      <c r="D71" s="58">
        <f>-'ALL CONTROLS'!E48/SUM('ALL CONTROLS'!$G$40:$G$58)*100</f>
        <v>-2.908862840088239</v>
      </c>
      <c r="E71" s="58">
        <f>'ALL CONTROLS'!F48/SUM('ALL CONTROLS'!$G$40:$G$58)*100</f>
        <v>3.2343526969159564</v>
      </c>
      <c r="F71" s="58">
        <f>-'ALL CONTROLS'!K48/SUM('ALL CONTROLS'!$M$40:$M$58)*100</f>
        <v>-3.0032403102075902</v>
      </c>
      <c r="G71" s="58">
        <f>'ALL CONTROLS'!L48/SUM('ALL CONTROLS'!$M$40:$M$58)*100</f>
        <v>3.1237919825393679</v>
      </c>
      <c r="H71" s="63">
        <v>11</v>
      </c>
      <c r="I71" s="42"/>
      <c r="J71" s="42"/>
      <c r="K71" s="42"/>
      <c r="L71" s="42"/>
      <c r="M71" s="42"/>
      <c r="N71" s="42"/>
      <c r="O71" s="42"/>
      <c r="P71" s="42"/>
      <c r="Q71" s="44"/>
      <c r="X71" s="1"/>
    </row>
    <row r="72" spans="1:24">
      <c r="A72" s="39"/>
      <c r="B72" s="54" t="s">
        <v>107</v>
      </c>
      <c r="C72" s="42">
        <v>2</v>
      </c>
      <c r="D72" s="58">
        <f>-'ALL CONTROLS'!E49/SUM('ALL CONTROLS'!$G$40:$G$58)*100</f>
        <v>-3.914529175137333</v>
      </c>
      <c r="E72" s="58">
        <f>'ALL CONTROLS'!F49/SUM('ALL CONTROLS'!$G$40:$G$58)*100</f>
        <v>4.0107703620398807</v>
      </c>
      <c r="F72" s="58">
        <f>-'ALL CONTROLS'!K49/SUM('ALL CONTROLS'!$M$40:$M$58)*100</f>
        <v>-3.3767052608414221</v>
      </c>
      <c r="G72" s="58">
        <f>'ALL CONTROLS'!L49/SUM('ALL CONTROLS'!$M$40:$M$58)*100</f>
        <v>3.5317509743195252</v>
      </c>
      <c r="H72" s="63">
        <v>10</v>
      </c>
      <c r="I72" s="42"/>
      <c r="J72" s="42"/>
      <c r="K72" s="42"/>
      <c r="L72" s="42"/>
      <c r="M72" s="42"/>
      <c r="N72" s="42"/>
      <c r="O72" s="42"/>
      <c r="P72" s="42"/>
      <c r="Q72" s="44"/>
      <c r="X72" s="1"/>
    </row>
    <row r="73" spans="1:24">
      <c r="A73" s="39"/>
      <c r="B73" s="54" t="s">
        <v>108</v>
      </c>
      <c r="C73" s="42">
        <v>2</v>
      </c>
      <c r="D73" s="58">
        <f>-'ALL CONTROLS'!E50/SUM('ALL CONTROLS'!$G$40:$G$58)*100</f>
        <v>-4.101604740689476</v>
      </c>
      <c r="E73" s="58">
        <f>'ALL CONTROLS'!F50/SUM('ALL CONTROLS'!$G$40:$G$58)*100</f>
        <v>4.2400190319650504</v>
      </c>
      <c r="F73" s="58">
        <f>-'ALL CONTROLS'!K50/SUM('ALL CONTROLS'!$M$40:$M$58)*100</f>
        <v>-3.4730885170659995</v>
      </c>
      <c r="G73" s="58">
        <f>'ALL CONTROLS'!L50/SUM('ALL CONTROLS'!$M$40:$M$58)*100</f>
        <v>3.6147109179932406</v>
      </c>
      <c r="H73" s="63">
        <v>9</v>
      </c>
      <c r="I73" s="42"/>
      <c r="J73" s="42"/>
      <c r="K73" s="42"/>
      <c r="L73" s="42"/>
      <c r="M73" s="42"/>
      <c r="N73" s="42"/>
      <c r="O73" s="42"/>
      <c r="P73" s="42"/>
      <c r="Q73" s="44"/>
      <c r="X73" s="1"/>
    </row>
    <row r="74" spans="1:24">
      <c r="A74" s="39"/>
      <c r="B74" s="54" t="s">
        <v>109</v>
      </c>
      <c r="C74" s="42">
        <v>2</v>
      </c>
      <c r="D74" s="58">
        <f>-'ALL CONTROLS'!E51/SUM('ALL CONTROLS'!$G$40:$G$58)*100</f>
        <v>-3.4517063886846318</v>
      </c>
      <c r="E74" s="58">
        <f>'ALL CONTROLS'!F51/SUM('ALL CONTROLS'!$G$40:$G$58)*100</f>
        <v>3.570656170249578</v>
      </c>
      <c r="F74" s="58">
        <f>-'ALL CONTROLS'!K51/SUM('ALL CONTROLS'!$M$40:$M$58)*100</f>
        <v>-3.1103041348320115</v>
      </c>
      <c r="G74" s="58">
        <f>'ALL CONTROLS'!L51/SUM('ALL CONTROLS'!$M$40:$M$58)*100</f>
        <v>3.2520556060722421</v>
      </c>
      <c r="H74" s="63">
        <v>8</v>
      </c>
      <c r="I74" s="42"/>
      <c r="J74" s="42"/>
      <c r="K74" s="42"/>
      <c r="L74" s="42"/>
      <c r="M74" s="42"/>
      <c r="N74" s="42"/>
      <c r="O74" s="42"/>
      <c r="P74" s="42"/>
      <c r="Q74" s="44"/>
      <c r="X74" s="1"/>
    </row>
    <row r="75" spans="1:24">
      <c r="A75" s="39"/>
      <c r="B75" s="54" t="s">
        <v>110</v>
      </c>
      <c r="C75" s="42">
        <v>2</v>
      </c>
      <c r="D75" s="58">
        <f>-'ALL CONTROLS'!E52/SUM('ALL CONTROLS'!$G$40:$G$58)*100</f>
        <v>-3.3803365197456636</v>
      </c>
      <c r="E75" s="58">
        <f>'ALL CONTROLS'!F52/SUM('ALL CONTROLS'!$G$40:$G$58)*100</f>
        <v>3.5641680003460361</v>
      </c>
      <c r="F75" s="58">
        <f>-'ALL CONTROLS'!K52/SUM('ALL CONTROLS'!$M$40:$M$58)*100</f>
        <v>-2.9126652180675205</v>
      </c>
      <c r="G75" s="58">
        <f>'ALL CONTROLS'!L52/SUM('ALL CONTROLS'!$M$40:$M$58)*100</f>
        <v>3.0543198865730088</v>
      </c>
      <c r="H75" s="63">
        <v>7</v>
      </c>
      <c r="I75" s="42"/>
      <c r="J75" s="42"/>
      <c r="K75" s="42"/>
      <c r="L75" s="42"/>
      <c r="M75" s="42"/>
      <c r="N75" s="42"/>
      <c r="O75" s="42"/>
      <c r="P75" s="42"/>
      <c r="Q75" s="44"/>
      <c r="X75" s="1"/>
    </row>
    <row r="76" spans="1:24">
      <c r="A76" s="39"/>
      <c r="B76" s="54" t="s">
        <v>111</v>
      </c>
      <c r="C76" s="42">
        <v>2</v>
      </c>
      <c r="D76" s="58">
        <f>-'ALL CONTROLS'!E53/SUM('ALL CONTROLS'!$G$40:$G$58)*100</f>
        <v>-3.594446126562568</v>
      </c>
      <c r="E76" s="58">
        <f>'ALL CONTROLS'!F53/SUM('ALL CONTROLS'!$G$40:$G$58)*100</f>
        <v>3.7317790561875515</v>
      </c>
      <c r="F76" s="58">
        <f>-'ALL CONTROLS'!K53/SUM('ALL CONTROLS'!$M$40:$M$58)*100</f>
        <v>-3.0900078281144827</v>
      </c>
      <c r="G76" s="58">
        <f>'ALL CONTROLS'!L53/SUM('ALL CONTROLS'!$M$40:$M$58)*100</f>
        <v>3.2243054887795948</v>
      </c>
      <c r="H76" s="63">
        <v>6</v>
      </c>
      <c r="I76" s="42"/>
      <c r="J76" s="42"/>
      <c r="K76" s="42"/>
      <c r="L76" s="42"/>
      <c r="M76" s="42"/>
      <c r="N76" s="42"/>
      <c r="O76" s="42"/>
      <c r="P76" s="42"/>
      <c r="Q76" s="44"/>
      <c r="X76" s="1"/>
    </row>
    <row r="77" spans="1:24">
      <c r="A77" s="39"/>
      <c r="B77" s="54" t="s">
        <v>112</v>
      </c>
      <c r="C77" s="42">
        <v>2</v>
      </c>
      <c r="D77" s="58">
        <f>-'ALL CONTROLS'!E54/SUM('ALL CONTROLS'!$G$40:$G$58)*100</f>
        <v>-2.7617976556079413</v>
      </c>
      <c r="E77" s="58">
        <f>'ALL CONTROLS'!F54/SUM('ALL CONTROLS'!$G$40:$G$58)*100</f>
        <v>2.9423850512565424</v>
      </c>
      <c r="F77" s="58">
        <f>-'ALL CONTROLS'!K54/SUM('ALL CONTROLS'!$M$40:$M$58)*100</f>
        <v>-2.3356886514281956</v>
      </c>
      <c r="G77" s="58">
        <f>'ALL CONTROLS'!L54/SUM('ALL CONTROLS'!$M$40:$M$58)*100</f>
        <v>2.517710060321011</v>
      </c>
      <c r="H77" s="63">
        <v>5</v>
      </c>
      <c r="I77" s="42"/>
      <c r="J77" s="42"/>
      <c r="K77" s="42"/>
      <c r="L77" s="42"/>
      <c r="M77" s="42"/>
      <c r="N77" s="42"/>
      <c r="O77" s="42"/>
      <c r="P77" s="42"/>
      <c r="Q77" s="44"/>
      <c r="X77" s="1"/>
    </row>
    <row r="78" spans="1:24">
      <c r="A78" s="39"/>
      <c r="B78" s="54" t="s">
        <v>113</v>
      </c>
      <c r="C78" s="42">
        <v>2</v>
      </c>
      <c r="D78" s="58">
        <f>-'ALL CONTROLS'!E55/SUM('ALL CONTROLS'!$G$40:$G$58)*100</f>
        <v>-1.984298628833427</v>
      </c>
      <c r="E78" s="58">
        <f>'ALL CONTROLS'!F55/SUM('ALL CONTROLS'!$G$40:$G$58)*100</f>
        <v>2.249232233228081</v>
      </c>
      <c r="F78" s="58">
        <f>-'ALL CONTROLS'!K55/SUM('ALL CONTROLS'!$M$40:$M$58)*100</f>
        <v>-1.7302198131965361</v>
      </c>
      <c r="G78" s="58">
        <f>'ALL CONTROLS'!L55/SUM('ALL CONTROLS'!$M$40:$M$58)*100</f>
        <v>1.9947816872458526</v>
      </c>
      <c r="H78" s="63">
        <v>4</v>
      </c>
      <c r="I78" s="42"/>
      <c r="J78" s="42"/>
      <c r="K78" s="42"/>
      <c r="L78" s="42"/>
      <c r="M78" s="42"/>
      <c r="N78" s="42"/>
      <c r="O78" s="42"/>
      <c r="P78" s="42"/>
      <c r="Q78" s="44"/>
      <c r="X78" s="1"/>
    </row>
    <row r="79" spans="1:24">
      <c r="A79" s="39"/>
      <c r="B79" s="54" t="s">
        <v>114</v>
      </c>
      <c r="C79" s="42">
        <v>2</v>
      </c>
      <c r="D79" s="58">
        <f>-'ALL CONTROLS'!E56/SUM('ALL CONTROLS'!$G$40:$G$58)*100</f>
        <v>-1.5463471603443055</v>
      </c>
      <c r="E79" s="58">
        <f>'ALL CONTROLS'!F56/SUM('ALL CONTROLS'!$G$40:$G$58)*100</f>
        <v>1.7366668108482202</v>
      </c>
      <c r="F79" s="58">
        <f>-'ALL CONTROLS'!K56/SUM('ALL CONTROLS'!$M$40:$M$58)*100</f>
        <v>-1.1699578520892935</v>
      </c>
      <c r="G79" s="58">
        <f>'ALL CONTROLS'!L56/SUM('ALL CONTROLS'!$M$40:$M$58)*100</f>
        <v>1.5383890605165522</v>
      </c>
      <c r="H79" s="63">
        <v>3</v>
      </c>
      <c r="I79" s="42"/>
      <c r="J79" s="42"/>
      <c r="K79" s="42"/>
      <c r="L79" s="42"/>
      <c r="M79" s="42"/>
      <c r="N79" s="42"/>
      <c r="O79" s="42"/>
      <c r="P79" s="42"/>
      <c r="Q79" s="44"/>
      <c r="X79" s="1"/>
    </row>
    <row r="80" spans="1:24">
      <c r="A80" s="39"/>
      <c r="B80" s="54" t="s">
        <v>115</v>
      </c>
      <c r="C80" s="42">
        <v>2</v>
      </c>
      <c r="D80" s="58">
        <f>-'ALL CONTROLS'!E57/SUM('ALL CONTROLS'!$G$40:$G$58)*100</f>
        <v>-0.72559366754617416</v>
      </c>
      <c r="E80" s="58">
        <f>'ALL CONTROLS'!F57/SUM('ALL CONTROLS'!$G$40:$G$58)*100</f>
        <v>1.1819282840953329</v>
      </c>
      <c r="F80" s="58">
        <f>-'ALL CONTROLS'!K57/SUM('ALL CONTROLS'!$M$40:$M$58)*100</f>
        <v>-0.61556859022305288</v>
      </c>
      <c r="G80" s="58">
        <f>'ALL CONTROLS'!L57/SUM('ALL CONTROLS'!$M$40:$M$58)*100</f>
        <v>1.0055222733412368</v>
      </c>
      <c r="H80" s="63">
        <v>2</v>
      </c>
      <c r="I80" s="42"/>
      <c r="J80" s="42"/>
      <c r="K80" s="42"/>
      <c r="L80" s="42"/>
      <c r="M80" s="42"/>
      <c r="N80" s="42"/>
      <c r="O80" s="42"/>
      <c r="P80" s="42"/>
      <c r="Q80" s="44"/>
      <c r="X80" s="1"/>
    </row>
    <row r="81" spans="1:24" ht="15" thickBot="1">
      <c r="A81" s="39"/>
      <c r="B81" s="60" t="s">
        <v>121</v>
      </c>
      <c r="C81" s="47">
        <v>2</v>
      </c>
      <c r="D81" s="62">
        <f>-'ALL CONTROLS'!E58/SUM('ALL CONTROLS'!$G$40:$G$58)*100</f>
        <v>-0.33954755828539296</v>
      </c>
      <c r="E81" s="62">
        <f>'ALL CONTROLS'!F58/SUM('ALL CONTROLS'!$G$40:$G$58)*100</f>
        <v>0.85643842726761532</v>
      </c>
      <c r="F81" s="62">
        <f>-'ALL CONTROLS'!K58/SUM('ALL CONTROLS'!$M$40:$M$58)*100</f>
        <v>-0.26733688577858117</v>
      </c>
      <c r="G81" s="62">
        <f>'ALL CONTROLS'!L58/SUM('ALL CONTROLS'!$M$40:$M$58)*100</f>
        <v>0.67042347324340146</v>
      </c>
      <c r="H81" s="64">
        <v>1</v>
      </c>
      <c r="I81" s="42"/>
      <c r="J81" s="42"/>
      <c r="K81" s="42"/>
      <c r="L81" s="42"/>
      <c r="M81" s="42"/>
      <c r="N81" s="42"/>
      <c r="O81" s="42"/>
      <c r="P81" s="42"/>
      <c r="Q81" s="44"/>
      <c r="X81" s="1"/>
    </row>
    <row r="82" spans="1:24">
      <c r="A82" s="39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4"/>
    </row>
    <row r="83" spans="1:24" ht="15" thickBot="1">
      <c r="A83" s="69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1"/>
    </row>
  </sheetData>
  <mergeCells count="1">
    <mergeCell ref="B34:C34"/>
  </mergeCells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J78"/>
  <sheetViews>
    <sheetView zoomScale="85" zoomScaleNormal="85" workbookViewId="0">
      <pane xSplit="2" ySplit="2" topLeftCell="C3" activePane="bottomRight" state="frozen"/>
      <selection activeCell="E17" sqref="E17"/>
      <selection pane="topRight" activeCell="E17" sqref="E17"/>
      <selection pane="bottomLeft" activeCell="E17" sqref="E17"/>
      <selection pane="bottomRight" activeCell="H62" sqref="H62"/>
    </sheetView>
  </sheetViews>
  <sheetFormatPr defaultColWidth="9.140625" defaultRowHeight="12.75"/>
  <cols>
    <col min="1" max="1" width="6.7109375" style="9" bestFit="1" customWidth="1"/>
    <col min="2" max="2" width="29.85546875" style="9" bestFit="1" customWidth="1"/>
    <col min="3" max="41" width="9.140625" style="9"/>
    <col min="42" max="42" width="13.28515625" style="9" customWidth="1"/>
    <col min="43" max="16384" width="9.140625" style="9"/>
  </cols>
  <sheetData>
    <row r="1" spans="1:62">
      <c r="B1" s="14" t="s">
        <v>235</v>
      </c>
    </row>
    <row r="2" spans="1:62" s="8" customFormat="1">
      <c r="A2" s="10" t="s">
        <v>138</v>
      </c>
      <c r="B2" s="10" t="s">
        <v>20</v>
      </c>
      <c r="C2" s="15" t="s">
        <v>139</v>
      </c>
      <c r="D2" s="15" t="s">
        <v>140</v>
      </c>
      <c r="E2" s="15" t="s">
        <v>141</v>
      </c>
      <c r="F2" s="15" t="s">
        <v>142</v>
      </c>
      <c r="G2" s="15" t="s">
        <v>143</v>
      </c>
      <c r="H2" s="15" t="s">
        <v>144</v>
      </c>
      <c r="I2" s="15" t="s">
        <v>145</v>
      </c>
      <c r="J2" s="15" t="s">
        <v>146</v>
      </c>
      <c r="K2" s="15" t="s">
        <v>147</v>
      </c>
      <c r="L2" s="15" t="s">
        <v>148</v>
      </c>
      <c r="M2" s="15" t="s">
        <v>149</v>
      </c>
      <c r="N2" s="15" t="s">
        <v>150</v>
      </c>
      <c r="O2" s="15" t="s">
        <v>151</v>
      </c>
      <c r="P2" s="15" t="s">
        <v>152</v>
      </c>
      <c r="Q2" s="15" t="s">
        <v>153</v>
      </c>
      <c r="R2" s="15" t="s">
        <v>154</v>
      </c>
      <c r="S2" s="15" t="s">
        <v>155</v>
      </c>
      <c r="T2" s="15" t="s">
        <v>156</v>
      </c>
      <c r="U2" s="16" t="s">
        <v>157</v>
      </c>
      <c r="V2" s="15" t="s">
        <v>158</v>
      </c>
      <c r="W2" s="5" t="s">
        <v>159</v>
      </c>
      <c r="X2" s="6" t="s">
        <v>160</v>
      </c>
      <c r="Y2" s="6" t="s">
        <v>161</v>
      </c>
      <c r="Z2" s="6" t="s">
        <v>162</v>
      </c>
      <c r="AA2" s="6" t="s">
        <v>163</v>
      </c>
      <c r="AB2" s="6" t="s">
        <v>164</v>
      </c>
      <c r="AC2" s="6" t="s">
        <v>165</v>
      </c>
      <c r="AD2" s="6" t="s">
        <v>166</v>
      </c>
      <c r="AE2" s="6" t="s">
        <v>167</v>
      </c>
      <c r="AF2" s="6" t="s">
        <v>168</v>
      </c>
      <c r="AG2" s="6" t="s">
        <v>169</v>
      </c>
      <c r="AH2" s="6" t="s">
        <v>170</v>
      </c>
      <c r="AI2" s="6" t="s">
        <v>171</v>
      </c>
      <c r="AJ2" s="6" t="s">
        <v>172</v>
      </c>
      <c r="AK2" s="6" t="s">
        <v>173</v>
      </c>
      <c r="AL2" s="6" t="s">
        <v>174</v>
      </c>
      <c r="AM2" s="6" t="s">
        <v>175</v>
      </c>
      <c r="AN2" s="6" t="s">
        <v>176</v>
      </c>
      <c r="AO2" s="6" t="s">
        <v>177</v>
      </c>
      <c r="AP2" s="6" t="s">
        <v>178</v>
      </c>
      <c r="AQ2" s="17" t="s">
        <v>179</v>
      </c>
      <c r="AR2" s="7" t="s">
        <v>180</v>
      </c>
      <c r="AS2" s="7" t="s">
        <v>181</v>
      </c>
      <c r="AT2" s="7" t="s">
        <v>182</v>
      </c>
      <c r="AU2" s="7" t="s">
        <v>183</v>
      </c>
      <c r="AV2" s="7" t="s">
        <v>184</v>
      </c>
      <c r="AW2" s="7" t="s">
        <v>185</v>
      </c>
      <c r="AX2" s="7" t="s">
        <v>186</v>
      </c>
      <c r="AY2" s="7" t="s">
        <v>187</v>
      </c>
      <c r="AZ2" s="7" t="s">
        <v>188</v>
      </c>
      <c r="BA2" s="7" t="s">
        <v>189</v>
      </c>
      <c r="BB2" s="7" t="s">
        <v>190</v>
      </c>
      <c r="BC2" s="7" t="s">
        <v>191</v>
      </c>
      <c r="BD2" s="7" t="s">
        <v>192</v>
      </c>
      <c r="BE2" s="7" t="s">
        <v>193</v>
      </c>
      <c r="BF2" s="7" t="s">
        <v>194</v>
      </c>
      <c r="BG2" s="7" t="s">
        <v>195</v>
      </c>
      <c r="BH2" s="7" t="s">
        <v>196</v>
      </c>
      <c r="BI2" s="7" t="s">
        <v>197</v>
      </c>
      <c r="BJ2" s="7" t="s">
        <v>198</v>
      </c>
    </row>
    <row r="3" spans="1:62" s="8" customFormat="1">
      <c r="A3" s="18" t="s">
        <v>19</v>
      </c>
      <c r="B3" s="18" t="s">
        <v>19</v>
      </c>
      <c r="C3" s="11">
        <f>SUM(C4:C10)</f>
        <v>90078</v>
      </c>
      <c r="D3" s="11">
        <f t="shared" ref="D3:U3" si="0">SUM(D4:D10)</f>
        <v>92156</v>
      </c>
      <c r="E3" s="11">
        <f t="shared" si="0"/>
        <v>84755</v>
      </c>
      <c r="F3" s="11">
        <f t="shared" si="0"/>
        <v>95847</v>
      </c>
      <c r="G3" s="11">
        <f t="shared" si="0"/>
        <v>110609</v>
      </c>
      <c r="H3" s="11">
        <f t="shared" si="0"/>
        <v>99318</v>
      </c>
      <c r="I3" s="11">
        <f t="shared" si="0"/>
        <v>90712</v>
      </c>
      <c r="J3" s="11">
        <f t="shared" si="0"/>
        <v>84687</v>
      </c>
      <c r="K3" s="11">
        <f t="shared" si="0"/>
        <v>93073</v>
      </c>
      <c r="L3" s="11">
        <f t="shared" si="0"/>
        <v>104647</v>
      </c>
      <c r="M3" s="11">
        <f t="shared" si="0"/>
        <v>107634</v>
      </c>
      <c r="N3" s="11">
        <f t="shared" si="0"/>
        <v>96391</v>
      </c>
      <c r="O3" s="11">
        <f t="shared" si="0"/>
        <v>90266</v>
      </c>
      <c r="P3" s="11">
        <f t="shared" si="0"/>
        <v>95762</v>
      </c>
      <c r="Q3" s="11">
        <f t="shared" si="0"/>
        <v>72385</v>
      </c>
      <c r="R3" s="11">
        <f t="shared" si="0"/>
        <v>53621</v>
      </c>
      <c r="S3" s="11">
        <f t="shared" si="0"/>
        <v>36258</v>
      </c>
      <c r="T3" s="11">
        <f t="shared" si="0"/>
        <v>19077</v>
      </c>
      <c r="U3" s="11">
        <f t="shared" si="0"/>
        <v>8285</v>
      </c>
      <c r="V3" s="11" t="s">
        <v>19</v>
      </c>
      <c r="W3" s="19">
        <f>SUM(W4:W10)</f>
        <v>85844</v>
      </c>
      <c r="X3" s="120">
        <f t="shared" ref="X3:AO3" si="1">SUM(X4:X10)</f>
        <v>87647</v>
      </c>
      <c r="Y3" s="120">
        <f t="shared" si="1"/>
        <v>80198</v>
      </c>
      <c r="Z3" s="120">
        <f t="shared" si="1"/>
        <v>90144</v>
      </c>
      <c r="AA3" s="120">
        <f t="shared" si="1"/>
        <v>103605</v>
      </c>
      <c r="AB3" s="120">
        <f t="shared" si="1"/>
        <v>95737</v>
      </c>
      <c r="AC3" s="120">
        <f t="shared" si="1"/>
        <v>91253</v>
      </c>
      <c r="AD3" s="120">
        <f t="shared" si="1"/>
        <v>85988</v>
      </c>
      <c r="AE3" s="120">
        <f t="shared" si="1"/>
        <v>96809</v>
      </c>
      <c r="AF3" s="120">
        <f t="shared" si="1"/>
        <v>109452</v>
      </c>
      <c r="AG3" s="120">
        <f t="shared" si="1"/>
        <v>112023</v>
      </c>
      <c r="AH3" s="120">
        <f t="shared" si="1"/>
        <v>100784</v>
      </c>
      <c r="AI3" s="120">
        <f t="shared" si="1"/>
        <v>94656</v>
      </c>
      <c r="AJ3" s="120">
        <f t="shared" si="1"/>
        <v>99924</v>
      </c>
      <c r="AK3" s="120">
        <f t="shared" si="1"/>
        <v>78026</v>
      </c>
      <c r="AL3" s="120">
        <f t="shared" si="1"/>
        <v>61820</v>
      </c>
      <c r="AM3" s="120">
        <f t="shared" si="1"/>
        <v>47676</v>
      </c>
      <c r="AN3" s="120">
        <f t="shared" si="1"/>
        <v>31162</v>
      </c>
      <c r="AO3" s="120">
        <f t="shared" si="1"/>
        <v>20777</v>
      </c>
      <c r="AP3" s="11" t="s">
        <v>19</v>
      </c>
      <c r="AQ3" s="19">
        <f>SUM(AQ4:AQ10)</f>
        <v>175922</v>
      </c>
      <c r="AR3" s="120">
        <f t="shared" ref="AR3:BI3" si="2">SUM(AR4:AR10)</f>
        <v>179803</v>
      </c>
      <c r="AS3" s="120">
        <f t="shared" si="2"/>
        <v>164953</v>
      </c>
      <c r="AT3" s="120">
        <f t="shared" si="2"/>
        <v>185991</v>
      </c>
      <c r="AU3" s="120">
        <f t="shared" si="2"/>
        <v>214214</v>
      </c>
      <c r="AV3" s="120">
        <f t="shared" si="2"/>
        <v>195055</v>
      </c>
      <c r="AW3" s="120">
        <f t="shared" si="2"/>
        <v>181965</v>
      </c>
      <c r="AX3" s="120">
        <f t="shared" si="2"/>
        <v>170675</v>
      </c>
      <c r="AY3" s="120">
        <f t="shared" si="2"/>
        <v>189882</v>
      </c>
      <c r="AZ3" s="120">
        <f t="shared" si="2"/>
        <v>214099</v>
      </c>
      <c r="BA3" s="120">
        <f t="shared" si="2"/>
        <v>219657</v>
      </c>
      <c r="BB3" s="120">
        <f t="shared" si="2"/>
        <v>197175</v>
      </c>
      <c r="BC3" s="120">
        <f t="shared" si="2"/>
        <v>184922</v>
      </c>
      <c r="BD3" s="120">
        <f t="shared" si="2"/>
        <v>195686</v>
      </c>
      <c r="BE3" s="120">
        <f t="shared" si="2"/>
        <v>150411</v>
      </c>
      <c r="BF3" s="120">
        <f t="shared" si="2"/>
        <v>115441</v>
      </c>
      <c r="BG3" s="120">
        <f t="shared" si="2"/>
        <v>83934</v>
      </c>
      <c r="BH3" s="120">
        <f t="shared" si="2"/>
        <v>50239</v>
      </c>
      <c r="BI3" s="120">
        <f t="shared" si="2"/>
        <v>29062</v>
      </c>
      <c r="BJ3" s="11" t="s">
        <v>19</v>
      </c>
    </row>
    <row r="4" spans="1:62" s="8" customFormat="1">
      <c r="A4" s="20"/>
      <c r="B4" s="21" t="s">
        <v>21</v>
      </c>
      <c r="C4" s="20">
        <f>SUM(C11:C16)</f>
        <v>19688</v>
      </c>
      <c r="D4" s="20">
        <f t="shared" ref="D4:U4" si="3">SUM(D11:D16)</f>
        <v>20799</v>
      </c>
      <c r="E4" s="20">
        <f t="shared" si="3"/>
        <v>19006</v>
      </c>
      <c r="F4" s="20">
        <f t="shared" si="3"/>
        <v>20479</v>
      </c>
      <c r="G4" s="20">
        <f t="shared" si="3"/>
        <v>21437</v>
      </c>
      <c r="H4" s="20">
        <f t="shared" si="3"/>
        <v>20756</v>
      </c>
      <c r="I4" s="20">
        <f t="shared" si="3"/>
        <v>18827</v>
      </c>
      <c r="J4" s="20">
        <f t="shared" si="3"/>
        <v>17829</v>
      </c>
      <c r="K4" s="20">
        <f t="shared" si="3"/>
        <v>21071</v>
      </c>
      <c r="L4" s="20">
        <f t="shared" si="3"/>
        <v>23453</v>
      </c>
      <c r="M4" s="20">
        <f t="shared" si="3"/>
        <v>24531</v>
      </c>
      <c r="N4" s="20">
        <f t="shared" si="3"/>
        <v>22261</v>
      </c>
      <c r="O4" s="20">
        <f t="shared" si="3"/>
        <v>21126</v>
      </c>
      <c r="P4" s="20">
        <f t="shared" si="3"/>
        <v>23920</v>
      </c>
      <c r="Q4" s="20">
        <f t="shared" si="3"/>
        <v>18222</v>
      </c>
      <c r="R4" s="20">
        <f t="shared" si="3"/>
        <v>13347</v>
      </c>
      <c r="S4" s="20">
        <f t="shared" si="3"/>
        <v>8904</v>
      </c>
      <c r="T4" s="20">
        <f t="shared" si="3"/>
        <v>4786</v>
      </c>
      <c r="U4" s="20">
        <f t="shared" si="3"/>
        <v>2121</v>
      </c>
      <c r="V4" s="20">
        <v>0</v>
      </c>
      <c r="W4" s="20">
        <f>SUM(W11:W16)</f>
        <v>18974</v>
      </c>
      <c r="X4" s="20">
        <f t="shared" ref="X4:AO4" si="4">SUM(X11:X16)</f>
        <v>19883</v>
      </c>
      <c r="Y4" s="20">
        <f t="shared" si="4"/>
        <v>17615</v>
      </c>
      <c r="Z4" s="20">
        <f t="shared" si="4"/>
        <v>18918</v>
      </c>
      <c r="AA4" s="20">
        <f t="shared" si="4"/>
        <v>19739</v>
      </c>
      <c r="AB4" s="20">
        <f t="shared" si="4"/>
        <v>19692</v>
      </c>
      <c r="AC4" s="20">
        <f t="shared" si="4"/>
        <v>18590</v>
      </c>
      <c r="AD4" s="20">
        <f t="shared" si="4"/>
        <v>17956</v>
      </c>
      <c r="AE4" s="20">
        <f t="shared" si="4"/>
        <v>21758</v>
      </c>
      <c r="AF4" s="20">
        <f t="shared" si="4"/>
        <v>25052</v>
      </c>
      <c r="AG4" s="20">
        <f t="shared" si="4"/>
        <v>25400</v>
      </c>
      <c r="AH4" s="20">
        <f t="shared" si="4"/>
        <v>22908</v>
      </c>
      <c r="AI4" s="20">
        <f t="shared" si="4"/>
        <v>22291</v>
      </c>
      <c r="AJ4" s="20">
        <f t="shared" si="4"/>
        <v>24574</v>
      </c>
      <c r="AK4" s="20">
        <f t="shared" si="4"/>
        <v>19132</v>
      </c>
      <c r="AL4" s="20">
        <f t="shared" si="4"/>
        <v>14900</v>
      </c>
      <c r="AM4" s="20">
        <f t="shared" si="4"/>
        <v>11553</v>
      </c>
      <c r="AN4" s="20">
        <f t="shared" si="4"/>
        <v>7871</v>
      </c>
      <c r="AO4" s="20">
        <f t="shared" si="4"/>
        <v>5104</v>
      </c>
      <c r="AP4" s="20">
        <v>0</v>
      </c>
      <c r="AQ4" s="20">
        <f>SUM(AQ11:AQ16)</f>
        <v>38662</v>
      </c>
      <c r="AR4" s="20">
        <f t="shared" ref="AR4:BI4" si="5">SUM(AR11:AR16)</f>
        <v>40682</v>
      </c>
      <c r="AS4" s="20">
        <f t="shared" si="5"/>
        <v>36621</v>
      </c>
      <c r="AT4" s="20">
        <f t="shared" si="5"/>
        <v>39397</v>
      </c>
      <c r="AU4" s="20">
        <f t="shared" si="5"/>
        <v>41176</v>
      </c>
      <c r="AV4" s="20">
        <f t="shared" si="5"/>
        <v>40448</v>
      </c>
      <c r="AW4" s="20">
        <f t="shared" si="5"/>
        <v>37417</v>
      </c>
      <c r="AX4" s="20">
        <f t="shared" si="5"/>
        <v>35785</v>
      </c>
      <c r="AY4" s="20">
        <f t="shared" si="5"/>
        <v>42829</v>
      </c>
      <c r="AZ4" s="20">
        <f t="shared" si="5"/>
        <v>48505</v>
      </c>
      <c r="BA4" s="20">
        <f t="shared" si="5"/>
        <v>49931</v>
      </c>
      <c r="BB4" s="20">
        <f t="shared" si="5"/>
        <v>45169</v>
      </c>
      <c r="BC4" s="20">
        <f t="shared" si="5"/>
        <v>43417</v>
      </c>
      <c r="BD4" s="20">
        <f t="shared" si="5"/>
        <v>48494</v>
      </c>
      <c r="BE4" s="20">
        <f t="shared" si="5"/>
        <v>37354</v>
      </c>
      <c r="BF4" s="20">
        <f t="shared" si="5"/>
        <v>28247</v>
      </c>
      <c r="BG4" s="20">
        <f t="shared" si="5"/>
        <v>20457</v>
      </c>
      <c r="BH4" s="20">
        <f t="shared" si="5"/>
        <v>12657</v>
      </c>
      <c r="BI4" s="20">
        <f t="shared" si="5"/>
        <v>7225</v>
      </c>
      <c r="BJ4" s="20">
        <v>0</v>
      </c>
    </row>
    <row r="5" spans="1:62" s="8" customFormat="1">
      <c r="A5" s="22" t="s">
        <v>22</v>
      </c>
      <c r="B5" s="23" t="s">
        <v>23</v>
      </c>
      <c r="C5" s="119">
        <f>VLOOKUP(LEFT($B$5,5),'2015 SQL Output'!$A$29:$T$50,2,FALSE)</f>
        <v>3264</v>
      </c>
      <c r="D5" s="119">
        <f>VLOOKUP(LEFT($B$5,5),'2015 SQL Output'!$A$29:$T$50,3,FALSE)</f>
        <v>3496</v>
      </c>
      <c r="E5" s="119">
        <f>VLOOKUP(LEFT($B$5,5),'2015 SQL Output'!$A$29:$T$50,4,FALSE)</f>
        <v>3536</v>
      </c>
      <c r="F5" s="119">
        <f>VLOOKUP(LEFT($B$5,5),'2015 SQL Output'!$A$29:$T$50,5,FALSE)</f>
        <v>3994</v>
      </c>
      <c r="G5" s="119">
        <f>VLOOKUP(LEFT($B$5,5),'2015 SQL Output'!$A$29:$T$50,6,FALSE)</f>
        <v>3360</v>
      </c>
      <c r="H5" s="119">
        <f>VLOOKUP(LEFT($B$5,5),'2015 SQL Output'!$A$29:$T$50,7,FALSE)</f>
        <v>3474</v>
      </c>
      <c r="I5" s="119">
        <f>VLOOKUP(LEFT($B$5,5),'2015 SQL Output'!$A$29:$T$50,8,FALSE)</f>
        <v>2869</v>
      </c>
      <c r="J5" s="119">
        <f>VLOOKUP(LEFT($B$5,5),'2015 SQL Output'!$A$29:$T$50,9,FALSE)</f>
        <v>2838</v>
      </c>
      <c r="K5" s="119">
        <f>VLOOKUP(LEFT($B$5,5),'2015 SQL Output'!$A$29:$T$50,10,FALSE)</f>
        <v>3684</v>
      </c>
      <c r="L5" s="119">
        <f>VLOOKUP(LEFT($B$5,5),'2015 SQL Output'!$A$29:$T$50,11,FALSE)</f>
        <v>4561</v>
      </c>
      <c r="M5" s="119">
        <f>VLOOKUP(LEFT($B$5,5),'2015 SQL Output'!$A$29:$T$50,12,FALSE)</f>
        <v>5108</v>
      </c>
      <c r="N5" s="119">
        <f>VLOOKUP(LEFT($B$5,5),'2015 SQL Output'!$A$29:$T$50,13,FALSE)</f>
        <v>4648</v>
      </c>
      <c r="O5" s="119">
        <f>VLOOKUP(LEFT($B$5,5),'2015 SQL Output'!$A$29:$T$50,14,FALSE)</f>
        <v>4715</v>
      </c>
      <c r="P5" s="119">
        <f>VLOOKUP(LEFT($B$5,5),'2015 SQL Output'!$A$29:$T$50,15,FALSE)</f>
        <v>5261</v>
      </c>
      <c r="Q5" s="119">
        <f>VLOOKUP(LEFT($B$5,5),'2015 SQL Output'!$A$29:$T$50,16,FALSE)</f>
        <v>4111</v>
      </c>
      <c r="R5" s="119">
        <f>VLOOKUP(LEFT($B$5,5),'2015 SQL Output'!$A$29:$T$50,17,FALSE)</f>
        <v>3074</v>
      </c>
      <c r="S5" s="119">
        <f>VLOOKUP(LEFT($B$5,5),'2015 SQL Output'!$A$29:$T$50,18,FALSE)</f>
        <v>2029</v>
      </c>
      <c r="T5" s="119">
        <f>VLOOKUP(LEFT($B$5,5),'2015 SQL Output'!$A$29:$T$50,19,FALSE)</f>
        <v>1109</v>
      </c>
      <c r="U5" s="119">
        <f>VLOOKUP(LEFT($B$5,5),'2015 SQL Output'!$A$29:$T$50,20,FALSE)</f>
        <v>534</v>
      </c>
      <c r="V5" s="22" t="s">
        <v>22</v>
      </c>
      <c r="W5" s="119">
        <f>VLOOKUP(LEFT($B$5,5),'2015 SQL Output'!$A$53:$T$75,2,FALSE)</f>
        <v>3067</v>
      </c>
      <c r="X5" s="119">
        <f>VLOOKUP(LEFT($B$5,5),'2015 SQL Output'!$A$53:$T$75,3,FALSE)</f>
        <v>3364</v>
      </c>
      <c r="Y5" s="119">
        <f>VLOOKUP(LEFT($B$5,5),'2015 SQL Output'!$A$53:$T$75,4,FALSE)</f>
        <v>3359</v>
      </c>
      <c r="Z5" s="119">
        <f>VLOOKUP(LEFT($B$5,5),'2015 SQL Output'!$A$53:$T$75,5,FALSE)</f>
        <v>3604</v>
      </c>
      <c r="AA5" s="119">
        <f>VLOOKUP(LEFT($B$5,5),'2015 SQL Output'!$A$53:$T$75,6,FALSE)</f>
        <v>2928</v>
      </c>
      <c r="AB5" s="119">
        <f>VLOOKUP(LEFT($B$5,5),'2015 SQL Output'!$A$53:$T$75,7,FALSE)</f>
        <v>3011</v>
      </c>
      <c r="AC5" s="119">
        <f>VLOOKUP(LEFT($B$5,5),'2015 SQL Output'!$A$53:$T$75,8,FALSE)</f>
        <v>2876</v>
      </c>
      <c r="AD5" s="119">
        <f>VLOOKUP(LEFT($B$5,5),'2015 SQL Output'!$A$53:$T$75,9,FALSE)</f>
        <v>3074</v>
      </c>
      <c r="AE5" s="119">
        <f>VLOOKUP(LEFT($B$5,5),'2015 SQL Output'!$A$53:$T$75,10,FALSE)</f>
        <v>3942</v>
      </c>
      <c r="AF5" s="119">
        <f>VLOOKUP(LEFT($B$5,5),'2015 SQL Output'!$A$53:$T$75,11,FALSE)</f>
        <v>4739</v>
      </c>
      <c r="AG5" s="119">
        <f>VLOOKUP(LEFT($B$5,5),'2015 SQL Output'!$A$53:$T$75,12,FALSE)</f>
        <v>5098</v>
      </c>
      <c r="AH5" s="119">
        <f>VLOOKUP(LEFT($B$5,5),'2015 SQL Output'!$A$53:$T$75,13,FALSE)</f>
        <v>4888</v>
      </c>
      <c r="AI5" s="119">
        <f>VLOOKUP(LEFT($B$5,5),'2015 SQL Output'!$A$53:$T$75,14,FALSE)</f>
        <v>4987</v>
      </c>
      <c r="AJ5" s="119">
        <f>VLOOKUP(LEFT($B$5,5),'2015 SQL Output'!$A$53:$T$75,15,FALSE)</f>
        <v>5240</v>
      </c>
      <c r="AK5" s="119">
        <f>VLOOKUP(LEFT($B$5,5),'2015 SQL Output'!$A$53:$T$75,16,FALSE)</f>
        <v>4226</v>
      </c>
      <c r="AL5" s="119">
        <f>VLOOKUP(LEFT($B$5,5),'2015 SQL Output'!$A$53:$T$75,17,FALSE)</f>
        <v>3156</v>
      </c>
      <c r="AM5" s="119">
        <f>VLOOKUP(LEFT($B$5,5),'2015 SQL Output'!$A$53:$T$75,18,FALSE)</f>
        <v>2514</v>
      </c>
      <c r="AN5" s="119">
        <f>VLOOKUP(LEFT($B$5,5),'2015 SQL Output'!$A$53:$T$75,19,FALSE)</f>
        <v>1689</v>
      </c>
      <c r="AO5" s="119">
        <f>VLOOKUP(LEFT($B$5,5),'2015 SQL Output'!$A$53:$T$75,20,FALSE)</f>
        <v>1215</v>
      </c>
      <c r="AP5" s="22" t="s">
        <v>22</v>
      </c>
      <c r="AQ5" s="119">
        <f>VLOOKUP(LEFT($B$5,5),'2015 SQL Output'!$A$3:$T$24,2,FALSE)</f>
        <v>6331</v>
      </c>
      <c r="AR5" s="119">
        <f>VLOOKUP(LEFT($B$5,5),'2015 SQL Output'!$A$3:$T$24,3,FALSE)</f>
        <v>6860</v>
      </c>
      <c r="AS5" s="119">
        <f>VLOOKUP(LEFT($B$5,5),'2015 SQL Output'!$A$3:$T$24,4,FALSE)</f>
        <v>6895</v>
      </c>
      <c r="AT5" s="119">
        <f>VLOOKUP(LEFT($B$5,5),'2015 SQL Output'!$A$3:$T$24,5,FALSE)</f>
        <v>7598</v>
      </c>
      <c r="AU5" s="119">
        <f>VLOOKUP(LEFT($B$5,5),'2015 SQL Output'!$A$3:$T$24,6,FALSE)</f>
        <v>6288</v>
      </c>
      <c r="AV5" s="119">
        <f>VLOOKUP(LEFT($B$5,5),'2015 SQL Output'!$A$3:$T$24,7,FALSE)</f>
        <v>6485</v>
      </c>
      <c r="AW5" s="119">
        <f>VLOOKUP(LEFT($B$5,5),'2015 SQL Output'!$A$3:$T$24,8,FALSE)</f>
        <v>5745</v>
      </c>
      <c r="AX5" s="119">
        <f>VLOOKUP(LEFT($B$5,5),'2015 SQL Output'!$A$3:$T$24,9,FALSE)</f>
        <v>5912</v>
      </c>
      <c r="AY5" s="119">
        <f>VLOOKUP(LEFT($B$5,5),'2015 SQL Output'!$A$3:$T$24,10,FALSE)</f>
        <v>7626</v>
      </c>
      <c r="AZ5" s="119">
        <f>VLOOKUP(LEFT($B$5,5),'2015 SQL Output'!$A$3:$T$24,11,FALSE)</f>
        <v>9300</v>
      </c>
      <c r="BA5" s="119">
        <f>VLOOKUP(LEFT($B$5,5),'2015 SQL Output'!$A$3:$T$24,12,FALSE)</f>
        <v>10206</v>
      </c>
      <c r="BB5" s="119">
        <f>VLOOKUP(LEFT($B$5,5),'2015 SQL Output'!$A$3:$T$24,13,FALSE)</f>
        <v>9536</v>
      </c>
      <c r="BC5" s="119">
        <f>VLOOKUP(LEFT($B$5,5),'2015 SQL Output'!$A$3:$T$24,14,FALSE)</f>
        <v>9702</v>
      </c>
      <c r="BD5" s="119">
        <f>VLOOKUP(LEFT($B$5,5),'2015 SQL Output'!$A$3:$T$24,15,FALSE)</f>
        <v>10501</v>
      </c>
      <c r="BE5" s="119">
        <f>VLOOKUP(LEFT($B$5,5),'2015 SQL Output'!$A$3:$T$24,16,FALSE)</f>
        <v>8337</v>
      </c>
      <c r="BF5" s="119">
        <f>VLOOKUP(LEFT($B$5,5),'2015 SQL Output'!$A$3:$T$24,17,FALSE)</f>
        <v>6230</v>
      </c>
      <c r="BG5" s="119">
        <f>VLOOKUP(LEFT($B$5,5),'2015 SQL Output'!$A$3:$T$24,18,FALSE)</f>
        <v>4543</v>
      </c>
      <c r="BH5" s="119">
        <f>VLOOKUP(LEFT($B$5,5),'2015 SQL Output'!$A$3:$T$24,19,FALSE)</f>
        <v>2798</v>
      </c>
      <c r="BI5" s="119">
        <f>VLOOKUP(LEFT($B$5,5),'2015 SQL Output'!$A$3:$T$24,20,FALSE)</f>
        <v>1749</v>
      </c>
      <c r="BJ5" s="22" t="s">
        <v>22</v>
      </c>
    </row>
    <row r="6" spans="1:62" s="8" customFormat="1">
      <c r="A6" s="24"/>
      <c r="B6" s="25" t="s">
        <v>24</v>
      </c>
      <c r="C6" s="24">
        <f>SUM(C17:C19)</f>
        <v>10021</v>
      </c>
      <c r="D6" s="24">
        <f t="shared" ref="D6:U6" si="6">SUM(D17:D19)</f>
        <v>10804</v>
      </c>
      <c r="E6" s="24">
        <f t="shared" si="6"/>
        <v>10380</v>
      </c>
      <c r="F6" s="24">
        <f t="shared" si="6"/>
        <v>12063</v>
      </c>
      <c r="G6" s="24">
        <f t="shared" si="6"/>
        <v>13889</v>
      </c>
      <c r="H6" s="24">
        <f t="shared" si="6"/>
        <v>10540</v>
      </c>
      <c r="I6" s="24">
        <f t="shared" si="6"/>
        <v>9038</v>
      </c>
      <c r="J6" s="24">
        <f t="shared" si="6"/>
        <v>8894</v>
      </c>
      <c r="K6" s="24">
        <f t="shared" si="6"/>
        <v>10222</v>
      </c>
      <c r="L6" s="24">
        <f t="shared" si="6"/>
        <v>12433</v>
      </c>
      <c r="M6" s="24">
        <f t="shared" si="6"/>
        <v>13447</v>
      </c>
      <c r="N6" s="24">
        <f t="shared" si="6"/>
        <v>12478</v>
      </c>
      <c r="O6" s="24">
        <f t="shared" si="6"/>
        <v>12639</v>
      </c>
      <c r="P6" s="24">
        <f t="shared" si="6"/>
        <v>13777</v>
      </c>
      <c r="Q6" s="24">
        <f t="shared" si="6"/>
        <v>10677</v>
      </c>
      <c r="R6" s="24">
        <f t="shared" si="6"/>
        <v>7948</v>
      </c>
      <c r="S6" s="24">
        <f t="shared" si="6"/>
        <v>5336</v>
      </c>
      <c r="T6" s="24">
        <f t="shared" si="6"/>
        <v>2873</v>
      </c>
      <c r="U6" s="24">
        <f t="shared" si="6"/>
        <v>1243</v>
      </c>
      <c r="V6" s="24">
        <v>0</v>
      </c>
      <c r="W6" s="24">
        <f>SUM(W17:W19)</f>
        <v>9763</v>
      </c>
      <c r="X6" s="24">
        <f t="shared" ref="X6:AO6" si="7">SUM(X17:X19)</f>
        <v>10184</v>
      </c>
      <c r="Y6" s="24">
        <f t="shared" si="7"/>
        <v>9684</v>
      </c>
      <c r="Z6" s="24">
        <f t="shared" si="7"/>
        <v>10872</v>
      </c>
      <c r="AA6" s="24">
        <f t="shared" si="7"/>
        <v>12265</v>
      </c>
      <c r="AB6" s="24">
        <f t="shared" si="7"/>
        <v>9921</v>
      </c>
      <c r="AC6" s="24">
        <f t="shared" si="7"/>
        <v>9337</v>
      </c>
      <c r="AD6" s="24">
        <f t="shared" si="7"/>
        <v>9529</v>
      </c>
      <c r="AE6" s="24">
        <f t="shared" si="7"/>
        <v>11072</v>
      </c>
      <c r="AF6" s="24">
        <f t="shared" si="7"/>
        <v>13055</v>
      </c>
      <c r="AG6" s="24">
        <f t="shared" si="7"/>
        <v>14388</v>
      </c>
      <c r="AH6" s="24">
        <f t="shared" si="7"/>
        <v>13474</v>
      </c>
      <c r="AI6" s="24">
        <f t="shared" si="7"/>
        <v>13178</v>
      </c>
      <c r="AJ6" s="24">
        <f t="shared" si="7"/>
        <v>14176</v>
      </c>
      <c r="AK6" s="24">
        <f t="shared" si="7"/>
        <v>11050</v>
      </c>
      <c r="AL6" s="24">
        <f t="shared" si="7"/>
        <v>8436</v>
      </c>
      <c r="AM6" s="24">
        <f t="shared" si="7"/>
        <v>6710</v>
      </c>
      <c r="AN6" s="24">
        <f t="shared" si="7"/>
        <v>4441</v>
      </c>
      <c r="AO6" s="24">
        <f t="shared" si="7"/>
        <v>2992</v>
      </c>
      <c r="AP6" s="24">
        <v>0</v>
      </c>
      <c r="AQ6" s="24">
        <f>SUM(AQ17:AQ19)</f>
        <v>19784</v>
      </c>
      <c r="AR6" s="24">
        <f t="shared" ref="AR6:BI6" si="8">SUM(AR17:AR19)</f>
        <v>20988</v>
      </c>
      <c r="AS6" s="24">
        <f t="shared" si="8"/>
        <v>20064</v>
      </c>
      <c r="AT6" s="24">
        <f t="shared" si="8"/>
        <v>22935</v>
      </c>
      <c r="AU6" s="24">
        <f t="shared" si="8"/>
        <v>26154</v>
      </c>
      <c r="AV6" s="24">
        <f t="shared" si="8"/>
        <v>20461</v>
      </c>
      <c r="AW6" s="24">
        <f t="shared" si="8"/>
        <v>18375</v>
      </c>
      <c r="AX6" s="24">
        <f t="shared" si="8"/>
        <v>18423</v>
      </c>
      <c r="AY6" s="24">
        <f t="shared" si="8"/>
        <v>21294</v>
      </c>
      <c r="AZ6" s="24">
        <f t="shared" si="8"/>
        <v>25488</v>
      </c>
      <c r="BA6" s="24">
        <f t="shared" si="8"/>
        <v>27835</v>
      </c>
      <c r="BB6" s="24">
        <f t="shared" si="8"/>
        <v>25952</v>
      </c>
      <c r="BC6" s="24">
        <f t="shared" si="8"/>
        <v>25817</v>
      </c>
      <c r="BD6" s="24">
        <f t="shared" si="8"/>
        <v>27953</v>
      </c>
      <c r="BE6" s="24">
        <f t="shared" si="8"/>
        <v>21727</v>
      </c>
      <c r="BF6" s="24">
        <f t="shared" si="8"/>
        <v>16384</v>
      </c>
      <c r="BG6" s="24">
        <f t="shared" si="8"/>
        <v>12046</v>
      </c>
      <c r="BH6" s="24">
        <f t="shared" si="8"/>
        <v>7314</v>
      </c>
      <c r="BI6" s="24">
        <f t="shared" si="8"/>
        <v>4235</v>
      </c>
      <c r="BJ6" s="24">
        <v>0</v>
      </c>
    </row>
    <row r="7" spans="1:62" s="8" customFormat="1">
      <c r="A7" s="12"/>
      <c r="B7" s="26" t="s">
        <v>86</v>
      </c>
      <c r="C7" s="12">
        <f>SUM(C20:C22)</f>
        <v>15230</v>
      </c>
      <c r="D7" s="12">
        <f t="shared" ref="D7:U7" si="9">SUM(D20:D22)</f>
        <v>15004</v>
      </c>
      <c r="E7" s="12">
        <f t="shared" si="9"/>
        <v>14254</v>
      </c>
      <c r="F7" s="12">
        <f t="shared" si="9"/>
        <v>16812</v>
      </c>
      <c r="G7" s="12">
        <f t="shared" si="9"/>
        <v>19932</v>
      </c>
      <c r="H7" s="12">
        <f t="shared" si="9"/>
        <v>17229</v>
      </c>
      <c r="I7" s="12">
        <f t="shared" si="9"/>
        <v>16754</v>
      </c>
      <c r="J7" s="12">
        <f t="shared" si="9"/>
        <v>15578</v>
      </c>
      <c r="K7" s="12">
        <f t="shared" si="9"/>
        <v>16303</v>
      </c>
      <c r="L7" s="12">
        <f t="shared" si="9"/>
        <v>17893</v>
      </c>
      <c r="M7" s="12">
        <f t="shared" si="9"/>
        <v>18083</v>
      </c>
      <c r="N7" s="12">
        <f t="shared" si="9"/>
        <v>16182</v>
      </c>
      <c r="O7" s="12">
        <f t="shared" si="9"/>
        <v>14954</v>
      </c>
      <c r="P7" s="12">
        <f t="shared" si="9"/>
        <v>15314</v>
      </c>
      <c r="Q7" s="12">
        <f t="shared" si="9"/>
        <v>11670</v>
      </c>
      <c r="R7" s="12">
        <f t="shared" si="9"/>
        <v>8669</v>
      </c>
      <c r="S7" s="12">
        <f t="shared" si="9"/>
        <v>6055</v>
      </c>
      <c r="T7" s="12">
        <f t="shared" si="9"/>
        <v>3187</v>
      </c>
      <c r="U7" s="12">
        <f t="shared" si="9"/>
        <v>1297</v>
      </c>
      <c r="V7" s="12">
        <v>0</v>
      </c>
      <c r="W7" s="12">
        <f>SUM(W20:W22)</f>
        <v>13937</v>
      </c>
      <c r="X7" s="12">
        <f t="shared" ref="X7:AO7" si="10">SUM(X20:X22)</f>
        <v>13983</v>
      </c>
      <c r="Y7" s="12">
        <f t="shared" si="10"/>
        <v>13657</v>
      </c>
      <c r="Z7" s="12">
        <f t="shared" si="10"/>
        <v>14969</v>
      </c>
      <c r="AA7" s="12">
        <f t="shared" si="10"/>
        <v>16962</v>
      </c>
      <c r="AB7" s="12">
        <f t="shared" si="10"/>
        <v>16524</v>
      </c>
      <c r="AC7" s="12">
        <f t="shared" si="10"/>
        <v>15806</v>
      </c>
      <c r="AD7" s="12">
        <f t="shared" si="10"/>
        <v>14894</v>
      </c>
      <c r="AE7" s="12">
        <f t="shared" si="10"/>
        <v>17055</v>
      </c>
      <c r="AF7" s="12">
        <f t="shared" si="10"/>
        <v>18255</v>
      </c>
      <c r="AG7" s="12">
        <f t="shared" si="10"/>
        <v>18872</v>
      </c>
      <c r="AH7" s="12">
        <f t="shared" si="10"/>
        <v>17266</v>
      </c>
      <c r="AI7" s="12">
        <f t="shared" si="10"/>
        <v>15961</v>
      </c>
      <c r="AJ7" s="12">
        <f t="shared" si="10"/>
        <v>16629</v>
      </c>
      <c r="AK7" s="12">
        <f t="shared" si="10"/>
        <v>13014</v>
      </c>
      <c r="AL7" s="12">
        <f t="shared" si="10"/>
        <v>10702</v>
      </c>
      <c r="AM7" s="12">
        <f t="shared" si="10"/>
        <v>8050</v>
      </c>
      <c r="AN7" s="12">
        <f t="shared" si="10"/>
        <v>5221</v>
      </c>
      <c r="AO7" s="12">
        <f t="shared" si="10"/>
        <v>3309</v>
      </c>
      <c r="AP7" s="12">
        <v>0</v>
      </c>
      <c r="AQ7" s="12">
        <f>SUM(AQ20:AQ22)</f>
        <v>29167</v>
      </c>
      <c r="AR7" s="12">
        <f t="shared" ref="AR7:BI7" si="11">SUM(AR20:AR22)</f>
        <v>28987</v>
      </c>
      <c r="AS7" s="12">
        <f t="shared" si="11"/>
        <v>27911</v>
      </c>
      <c r="AT7" s="12">
        <f t="shared" si="11"/>
        <v>31781</v>
      </c>
      <c r="AU7" s="12">
        <f t="shared" si="11"/>
        <v>36894</v>
      </c>
      <c r="AV7" s="12">
        <f t="shared" si="11"/>
        <v>33753</v>
      </c>
      <c r="AW7" s="12">
        <f t="shared" si="11"/>
        <v>32560</v>
      </c>
      <c r="AX7" s="12">
        <f t="shared" si="11"/>
        <v>30472</v>
      </c>
      <c r="AY7" s="12">
        <f t="shared" si="11"/>
        <v>33358</v>
      </c>
      <c r="AZ7" s="12">
        <f t="shared" si="11"/>
        <v>36148</v>
      </c>
      <c r="BA7" s="12">
        <f t="shared" si="11"/>
        <v>36955</v>
      </c>
      <c r="BB7" s="12">
        <f t="shared" si="11"/>
        <v>33448</v>
      </c>
      <c r="BC7" s="12">
        <f t="shared" si="11"/>
        <v>30915</v>
      </c>
      <c r="BD7" s="12">
        <f t="shared" si="11"/>
        <v>31943</v>
      </c>
      <c r="BE7" s="12">
        <f t="shared" si="11"/>
        <v>24684</v>
      </c>
      <c r="BF7" s="12">
        <f t="shared" si="11"/>
        <v>19371</v>
      </c>
      <c r="BG7" s="12">
        <f t="shared" si="11"/>
        <v>14105</v>
      </c>
      <c r="BH7" s="12">
        <f t="shared" si="11"/>
        <v>8408</v>
      </c>
      <c r="BI7" s="12">
        <f t="shared" si="11"/>
        <v>4606</v>
      </c>
      <c r="BJ7" s="12">
        <v>0</v>
      </c>
    </row>
    <row r="8" spans="1:62" s="8" customFormat="1">
      <c r="A8" s="27"/>
      <c r="B8" s="28" t="s">
        <v>84</v>
      </c>
      <c r="C8" s="27">
        <f>SUM(C23:C24)</f>
        <v>15412</v>
      </c>
      <c r="D8" s="27">
        <f t="shared" ref="D8:U8" si="12">SUM(D23:D24)</f>
        <v>14860</v>
      </c>
      <c r="E8" s="27">
        <f t="shared" si="12"/>
        <v>12738</v>
      </c>
      <c r="F8" s="27">
        <f t="shared" si="12"/>
        <v>15497</v>
      </c>
      <c r="G8" s="27">
        <f t="shared" si="12"/>
        <v>23936</v>
      </c>
      <c r="H8" s="27">
        <f t="shared" si="12"/>
        <v>19296</v>
      </c>
      <c r="I8" s="27">
        <f t="shared" si="12"/>
        <v>17361</v>
      </c>
      <c r="J8" s="27">
        <f t="shared" si="12"/>
        <v>15110</v>
      </c>
      <c r="K8" s="27">
        <f t="shared" si="12"/>
        <v>14936</v>
      </c>
      <c r="L8" s="27">
        <f t="shared" si="12"/>
        <v>14905</v>
      </c>
      <c r="M8" s="27">
        <f t="shared" si="12"/>
        <v>15040</v>
      </c>
      <c r="N8" s="27">
        <f t="shared" si="12"/>
        <v>13386</v>
      </c>
      <c r="O8" s="27">
        <f t="shared" si="12"/>
        <v>11858</v>
      </c>
      <c r="P8" s="27">
        <f t="shared" si="12"/>
        <v>11219</v>
      </c>
      <c r="Q8" s="27">
        <f t="shared" si="12"/>
        <v>8092</v>
      </c>
      <c r="R8" s="27">
        <f t="shared" si="12"/>
        <v>6096</v>
      </c>
      <c r="S8" s="27">
        <f t="shared" si="12"/>
        <v>4310</v>
      </c>
      <c r="T8" s="27">
        <f t="shared" si="12"/>
        <v>2386</v>
      </c>
      <c r="U8" s="27">
        <f t="shared" si="12"/>
        <v>1109</v>
      </c>
      <c r="V8" s="27">
        <v>0</v>
      </c>
      <c r="W8" s="27">
        <f>SUM(W23:W24)</f>
        <v>14609</v>
      </c>
      <c r="X8" s="27">
        <f t="shared" ref="X8:AO8" si="13">SUM(X23:X24)</f>
        <v>14426</v>
      </c>
      <c r="Y8" s="27">
        <f t="shared" si="13"/>
        <v>12273</v>
      </c>
      <c r="Z8" s="27">
        <f t="shared" si="13"/>
        <v>15931</v>
      </c>
      <c r="AA8" s="27">
        <f t="shared" si="13"/>
        <v>24685</v>
      </c>
      <c r="AB8" s="27">
        <f t="shared" si="13"/>
        <v>17870</v>
      </c>
      <c r="AC8" s="27">
        <f t="shared" si="13"/>
        <v>16732</v>
      </c>
      <c r="AD8" s="27">
        <f t="shared" si="13"/>
        <v>15180</v>
      </c>
      <c r="AE8" s="27">
        <f t="shared" si="13"/>
        <v>14812</v>
      </c>
      <c r="AF8" s="27">
        <f t="shared" si="13"/>
        <v>15747</v>
      </c>
      <c r="AG8" s="27">
        <f t="shared" si="13"/>
        <v>16076</v>
      </c>
      <c r="AH8" s="27">
        <f t="shared" si="13"/>
        <v>14056</v>
      </c>
      <c r="AI8" s="27">
        <f t="shared" si="13"/>
        <v>12459</v>
      </c>
      <c r="AJ8" s="27">
        <f t="shared" si="13"/>
        <v>11865</v>
      </c>
      <c r="AK8" s="27">
        <f t="shared" si="13"/>
        <v>9238</v>
      </c>
      <c r="AL8" s="27">
        <f t="shared" si="13"/>
        <v>7904</v>
      </c>
      <c r="AM8" s="27">
        <f t="shared" si="13"/>
        <v>6229</v>
      </c>
      <c r="AN8" s="27">
        <f t="shared" si="13"/>
        <v>4232</v>
      </c>
      <c r="AO8" s="27">
        <f t="shared" si="13"/>
        <v>2881</v>
      </c>
      <c r="AP8" s="27">
        <v>0</v>
      </c>
      <c r="AQ8" s="27">
        <f>SUM(AQ23:AQ24)</f>
        <v>30021</v>
      </c>
      <c r="AR8" s="27">
        <f t="shared" ref="AR8:BI8" si="14">SUM(AR23:AR24)</f>
        <v>29286</v>
      </c>
      <c r="AS8" s="27">
        <f t="shared" si="14"/>
        <v>25011</v>
      </c>
      <c r="AT8" s="27">
        <f t="shared" si="14"/>
        <v>31428</v>
      </c>
      <c r="AU8" s="27">
        <f t="shared" si="14"/>
        <v>48621</v>
      </c>
      <c r="AV8" s="27">
        <f t="shared" si="14"/>
        <v>37166</v>
      </c>
      <c r="AW8" s="27">
        <f t="shared" si="14"/>
        <v>34093</v>
      </c>
      <c r="AX8" s="27">
        <f t="shared" si="14"/>
        <v>30290</v>
      </c>
      <c r="AY8" s="27">
        <f t="shared" si="14"/>
        <v>29748</v>
      </c>
      <c r="AZ8" s="27">
        <f t="shared" si="14"/>
        <v>30652</v>
      </c>
      <c r="BA8" s="27">
        <f t="shared" si="14"/>
        <v>31116</v>
      </c>
      <c r="BB8" s="27">
        <f t="shared" si="14"/>
        <v>27442</v>
      </c>
      <c r="BC8" s="27">
        <f t="shared" si="14"/>
        <v>24317</v>
      </c>
      <c r="BD8" s="27">
        <f t="shared" si="14"/>
        <v>23084</v>
      </c>
      <c r="BE8" s="27">
        <f t="shared" si="14"/>
        <v>17330</v>
      </c>
      <c r="BF8" s="27">
        <f t="shared" si="14"/>
        <v>14000</v>
      </c>
      <c r="BG8" s="27">
        <f t="shared" si="14"/>
        <v>10539</v>
      </c>
      <c r="BH8" s="27">
        <f t="shared" si="14"/>
        <v>6618</v>
      </c>
      <c r="BI8" s="27">
        <f t="shared" si="14"/>
        <v>3990</v>
      </c>
      <c r="BJ8" s="27">
        <v>0</v>
      </c>
    </row>
    <row r="9" spans="1:62" s="8" customFormat="1">
      <c r="A9" s="29"/>
      <c r="B9" s="30" t="s">
        <v>25</v>
      </c>
      <c r="C9" s="29">
        <f>SUM(C25:C26)</f>
        <v>9123</v>
      </c>
      <c r="D9" s="29">
        <f t="shared" ref="D9:U9" si="15">SUM(D25:D26)</f>
        <v>9213</v>
      </c>
      <c r="E9" s="29">
        <f t="shared" si="15"/>
        <v>8180</v>
      </c>
      <c r="F9" s="29">
        <f t="shared" si="15"/>
        <v>9000</v>
      </c>
      <c r="G9" s="29">
        <f t="shared" si="15"/>
        <v>10320</v>
      </c>
      <c r="H9" s="29">
        <f t="shared" si="15"/>
        <v>10090</v>
      </c>
      <c r="I9" s="29">
        <f t="shared" si="15"/>
        <v>9089</v>
      </c>
      <c r="J9" s="29">
        <f t="shared" si="15"/>
        <v>8320</v>
      </c>
      <c r="K9" s="29">
        <f t="shared" si="15"/>
        <v>9079</v>
      </c>
      <c r="L9" s="29">
        <f t="shared" si="15"/>
        <v>10303</v>
      </c>
      <c r="M9" s="29">
        <f t="shared" si="15"/>
        <v>10230</v>
      </c>
      <c r="N9" s="29">
        <f t="shared" si="15"/>
        <v>9072</v>
      </c>
      <c r="O9" s="29">
        <f t="shared" si="15"/>
        <v>8332</v>
      </c>
      <c r="P9" s="29">
        <f t="shared" si="15"/>
        <v>8780</v>
      </c>
      <c r="Q9" s="29">
        <f t="shared" si="15"/>
        <v>6462</v>
      </c>
      <c r="R9" s="29">
        <f t="shared" si="15"/>
        <v>4714</v>
      </c>
      <c r="S9" s="29">
        <f t="shared" si="15"/>
        <v>3091</v>
      </c>
      <c r="T9" s="29">
        <f t="shared" si="15"/>
        <v>1504</v>
      </c>
      <c r="U9" s="29">
        <f t="shared" si="15"/>
        <v>613</v>
      </c>
      <c r="V9" s="29">
        <v>0</v>
      </c>
      <c r="W9" s="29">
        <f>SUM(W25:W26)</f>
        <v>8872</v>
      </c>
      <c r="X9" s="29">
        <f t="shared" ref="X9:AO9" si="16">SUM(X25:X26)</f>
        <v>8657</v>
      </c>
      <c r="Y9" s="29">
        <f t="shared" si="16"/>
        <v>7860</v>
      </c>
      <c r="Z9" s="29">
        <f t="shared" si="16"/>
        <v>8709</v>
      </c>
      <c r="AA9" s="29">
        <f t="shared" si="16"/>
        <v>9838</v>
      </c>
      <c r="AB9" s="29">
        <f t="shared" si="16"/>
        <v>10202</v>
      </c>
      <c r="AC9" s="29">
        <f t="shared" si="16"/>
        <v>9829</v>
      </c>
      <c r="AD9" s="29">
        <f t="shared" si="16"/>
        <v>8526</v>
      </c>
      <c r="AE9" s="29">
        <f t="shared" si="16"/>
        <v>9588</v>
      </c>
      <c r="AF9" s="29">
        <f t="shared" si="16"/>
        <v>10577</v>
      </c>
      <c r="AG9" s="29">
        <f t="shared" si="16"/>
        <v>10614</v>
      </c>
      <c r="AH9" s="29">
        <f t="shared" si="16"/>
        <v>9432</v>
      </c>
      <c r="AI9" s="29">
        <f t="shared" si="16"/>
        <v>8555</v>
      </c>
      <c r="AJ9" s="29">
        <f t="shared" si="16"/>
        <v>9173</v>
      </c>
      <c r="AK9" s="29">
        <f t="shared" si="16"/>
        <v>6981</v>
      </c>
      <c r="AL9" s="29">
        <f t="shared" si="16"/>
        <v>5512</v>
      </c>
      <c r="AM9" s="29">
        <f t="shared" si="16"/>
        <v>4086</v>
      </c>
      <c r="AN9" s="29">
        <f t="shared" si="16"/>
        <v>2517</v>
      </c>
      <c r="AO9" s="29">
        <f t="shared" si="16"/>
        <v>1692</v>
      </c>
      <c r="AP9" s="29">
        <v>0</v>
      </c>
      <c r="AQ9" s="29">
        <f>SUM(AQ25:AQ26)</f>
        <v>17995</v>
      </c>
      <c r="AR9" s="29">
        <f t="shared" ref="AR9:BI9" si="17">SUM(AR25:AR26)</f>
        <v>17870</v>
      </c>
      <c r="AS9" s="29">
        <f t="shared" si="17"/>
        <v>16040</v>
      </c>
      <c r="AT9" s="29">
        <f t="shared" si="17"/>
        <v>17709</v>
      </c>
      <c r="AU9" s="29">
        <f t="shared" si="17"/>
        <v>20158</v>
      </c>
      <c r="AV9" s="29">
        <f t="shared" si="17"/>
        <v>20292</v>
      </c>
      <c r="AW9" s="29">
        <f t="shared" si="17"/>
        <v>18918</v>
      </c>
      <c r="AX9" s="29">
        <f t="shared" si="17"/>
        <v>16846</v>
      </c>
      <c r="AY9" s="29">
        <f t="shared" si="17"/>
        <v>18667</v>
      </c>
      <c r="AZ9" s="29">
        <f t="shared" si="17"/>
        <v>20880</v>
      </c>
      <c r="BA9" s="29">
        <f t="shared" si="17"/>
        <v>20844</v>
      </c>
      <c r="BB9" s="29">
        <f t="shared" si="17"/>
        <v>18504</v>
      </c>
      <c r="BC9" s="29">
        <f t="shared" si="17"/>
        <v>16887</v>
      </c>
      <c r="BD9" s="29">
        <f t="shared" si="17"/>
        <v>17953</v>
      </c>
      <c r="BE9" s="29">
        <f t="shared" si="17"/>
        <v>13443</v>
      </c>
      <c r="BF9" s="29">
        <f t="shared" si="17"/>
        <v>10226</v>
      </c>
      <c r="BG9" s="29">
        <f t="shared" si="17"/>
        <v>7177</v>
      </c>
      <c r="BH9" s="29">
        <f t="shared" si="17"/>
        <v>4021</v>
      </c>
      <c r="BI9" s="29">
        <f t="shared" si="17"/>
        <v>2305</v>
      </c>
      <c r="BJ9" s="29">
        <v>0</v>
      </c>
    </row>
    <row r="10" spans="1:62" s="8" customFormat="1">
      <c r="A10" s="13"/>
      <c r="B10" s="31" t="s">
        <v>26</v>
      </c>
      <c r="C10" s="13">
        <f>SUM(C27:C31)</f>
        <v>17340</v>
      </c>
      <c r="D10" s="13">
        <f t="shared" ref="D10:U10" si="18">SUM(D27:D31)</f>
        <v>17980</v>
      </c>
      <c r="E10" s="13">
        <f t="shared" si="18"/>
        <v>16661</v>
      </c>
      <c r="F10" s="13">
        <f t="shared" si="18"/>
        <v>18002</v>
      </c>
      <c r="G10" s="13">
        <f t="shared" si="18"/>
        <v>17735</v>
      </c>
      <c r="H10" s="13">
        <f t="shared" si="18"/>
        <v>17933</v>
      </c>
      <c r="I10" s="13">
        <f t="shared" si="18"/>
        <v>16774</v>
      </c>
      <c r="J10" s="13">
        <f t="shared" si="18"/>
        <v>16118</v>
      </c>
      <c r="K10" s="13">
        <f t="shared" si="18"/>
        <v>17778</v>
      </c>
      <c r="L10" s="13">
        <f t="shared" si="18"/>
        <v>21099</v>
      </c>
      <c r="M10" s="13">
        <f t="shared" si="18"/>
        <v>21195</v>
      </c>
      <c r="N10" s="13">
        <f t="shared" si="18"/>
        <v>18364</v>
      </c>
      <c r="O10" s="13">
        <f t="shared" si="18"/>
        <v>16642</v>
      </c>
      <c r="P10" s="13">
        <f t="shared" si="18"/>
        <v>17491</v>
      </c>
      <c r="Q10" s="13">
        <f t="shared" si="18"/>
        <v>13151</v>
      </c>
      <c r="R10" s="13">
        <f t="shared" si="18"/>
        <v>9773</v>
      </c>
      <c r="S10" s="13">
        <f t="shared" si="18"/>
        <v>6533</v>
      </c>
      <c r="T10" s="13">
        <f t="shared" si="18"/>
        <v>3232</v>
      </c>
      <c r="U10" s="13">
        <f t="shared" si="18"/>
        <v>1368</v>
      </c>
      <c r="V10" s="13">
        <v>0</v>
      </c>
      <c r="W10" s="13">
        <f>SUM(W27:W31)</f>
        <v>16622</v>
      </c>
      <c r="X10" s="13">
        <f t="shared" ref="X10:AO10" si="19">SUM(X27:X31)</f>
        <v>17150</v>
      </c>
      <c r="Y10" s="13">
        <f t="shared" si="19"/>
        <v>15750</v>
      </c>
      <c r="Z10" s="13">
        <f t="shared" si="19"/>
        <v>17141</v>
      </c>
      <c r="AA10" s="13">
        <f t="shared" si="19"/>
        <v>17188</v>
      </c>
      <c r="AB10" s="13">
        <f t="shared" si="19"/>
        <v>18517</v>
      </c>
      <c r="AC10" s="13">
        <f t="shared" si="19"/>
        <v>18083</v>
      </c>
      <c r="AD10" s="13">
        <f t="shared" si="19"/>
        <v>16829</v>
      </c>
      <c r="AE10" s="13">
        <f t="shared" si="19"/>
        <v>18582</v>
      </c>
      <c r="AF10" s="13">
        <f t="shared" si="19"/>
        <v>22027</v>
      </c>
      <c r="AG10" s="13">
        <f t="shared" si="19"/>
        <v>21575</v>
      </c>
      <c r="AH10" s="13">
        <f t="shared" si="19"/>
        <v>18760</v>
      </c>
      <c r="AI10" s="13">
        <f t="shared" si="19"/>
        <v>17225</v>
      </c>
      <c r="AJ10" s="13">
        <f t="shared" si="19"/>
        <v>18267</v>
      </c>
      <c r="AK10" s="13">
        <f t="shared" si="19"/>
        <v>14385</v>
      </c>
      <c r="AL10" s="13">
        <f t="shared" si="19"/>
        <v>11210</v>
      </c>
      <c r="AM10" s="13">
        <f t="shared" si="19"/>
        <v>8534</v>
      </c>
      <c r="AN10" s="13">
        <f t="shared" si="19"/>
        <v>5191</v>
      </c>
      <c r="AO10" s="13">
        <f t="shared" si="19"/>
        <v>3584</v>
      </c>
      <c r="AP10" s="13">
        <v>0</v>
      </c>
      <c r="AQ10" s="13">
        <f>SUM(AQ27:AQ31)</f>
        <v>33962</v>
      </c>
      <c r="AR10" s="13">
        <f t="shared" ref="AR10:BI10" si="20">SUM(AR27:AR31)</f>
        <v>35130</v>
      </c>
      <c r="AS10" s="13">
        <f t="shared" si="20"/>
        <v>32411</v>
      </c>
      <c r="AT10" s="13">
        <f t="shared" si="20"/>
        <v>35143</v>
      </c>
      <c r="AU10" s="13">
        <f t="shared" si="20"/>
        <v>34923</v>
      </c>
      <c r="AV10" s="13">
        <f t="shared" si="20"/>
        <v>36450</v>
      </c>
      <c r="AW10" s="13">
        <f t="shared" si="20"/>
        <v>34857</v>
      </c>
      <c r="AX10" s="13">
        <f t="shared" si="20"/>
        <v>32947</v>
      </c>
      <c r="AY10" s="13">
        <f t="shared" si="20"/>
        <v>36360</v>
      </c>
      <c r="AZ10" s="13">
        <f t="shared" si="20"/>
        <v>43126</v>
      </c>
      <c r="BA10" s="13">
        <f t="shared" si="20"/>
        <v>42770</v>
      </c>
      <c r="BB10" s="13">
        <f t="shared" si="20"/>
        <v>37124</v>
      </c>
      <c r="BC10" s="13">
        <f t="shared" si="20"/>
        <v>33867</v>
      </c>
      <c r="BD10" s="13">
        <f t="shared" si="20"/>
        <v>35758</v>
      </c>
      <c r="BE10" s="13">
        <f t="shared" si="20"/>
        <v>27536</v>
      </c>
      <c r="BF10" s="13">
        <f t="shared" si="20"/>
        <v>20983</v>
      </c>
      <c r="BG10" s="13">
        <f t="shared" si="20"/>
        <v>15067</v>
      </c>
      <c r="BH10" s="13">
        <f t="shared" si="20"/>
        <v>8423</v>
      </c>
      <c r="BI10" s="13">
        <f t="shared" si="20"/>
        <v>4952</v>
      </c>
      <c r="BJ10" s="13">
        <v>0</v>
      </c>
    </row>
    <row r="11" spans="1:62" s="8" customFormat="1">
      <c r="A11" s="20" t="s">
        <v>27</v>
      </c>
      <c r="B11" s="21" t="s">
        <v>28</v>
      </c>
      <c r="C11" s="20">
        <f>VLOOKUP(B11,'2015 SQL Output'!$A$29:$T$50,2,FALSE)</f>
        <v>1997</v>
      </c>
      <c r="D11" s="20">
        <f>VLOOKUP(B11,'2015 SQL Output'!$A$29:$T$50,3,FALSE)</f>
        <v>2030</v>
      </c>
      <c r="E11" s="20">
        <f>VLOOKUP(B11,'2015 SQL Output'!$A$29:$T$50,4,FALSE)</f>
        <v>1760</v>
      </c>
      <c r="F11" s="20">
        <f>VLOOKUP(B11,'2015 SQL Output'!$A$29:$T$50,5,FALSE)</f>
        <v>1838</v>
      </c>
      <c r="G11" s="20">
        <f>VLOOKUP(B11,'2015 SQL Output'!$A$29:$T$50,6,FALSE)</f>
        <v>1820</v>
      </c>
      <c r="H11" s="20">
        <f>VLOOKUP(B11,'2015 SQL Output'!$A$29:$T$50,7,FALSE)</f>
        <v>2011</v>
      </c>
      <c r="I11" s="20">
        <f>VLOOKUP(B11,'2015 SQL Output'!$A$29:$T$50,8,FALSE)</f>
        <v>1823</v>
      </c>
      <c r="J11" s="20">
        <f>VLOOKUP(B11,'2015 SQL Output'!$A$29:$T$50,9,FALSE)</f>
        <v>1728</v>
      </c>
      <c r="K11" s="20">
        <f>VLOOKUP(B11,'2015 SQL Output'!$A$29:$T$50,10,FALSE)</f>
        <v>2068</v>
      </c>
      <c r="L11" s="20">
        <f>VLOOKUP(B11,'2015 SQL Output'!$A$29:$T$50,11,FALSE)</f>
        <v>2294</v>
      </c>
      <c r="M11" s="20">
        <f>VLOOKUP(B11,'2015 SQL Output'!$A$29:$T$50,12,FALSE)</f>
        <v>2391</v>
      </c>
      <c r="N11" s="20">
        <f>VLOOKUP(B11,'2015 SQL Output'!$A$29:$T$50,13,FALSE)</f>
        <v>2424</v>
      </c>
      <c r="O11" s="20">
        <f>VLOOKUP(B11,'2015 SQL Output'!$A$29:$T$50,14,FALSE)</f>
        <v>2373</v>
      </c>
      <c r="P11" s="20">
        <f>VLOOKUP(B11,'2015 SQL Output'!$A$29:$T$50,15,FALSE)</f>
        <v>2637</v>
      </c>
      <c r="Q11" s="20">
        <f>VLOOKUP(B11,'2015 SQL Output'!$A$29:$T$50,16,FALSE)</f>
        <v>2078</v>
      </c>
      <c r="R11" s="20">
        <f>VLOOKUP(B11,'2015 SQL Output'!$A$29:$T$50,17,FALSE)</f>
        <v>1577</v>
      </c>
      <c r="S11" s="20">
        <f>VLOOKUP(B11,'2015 SQL Output'!$A$29:$T$50,18,FALSE)</f>
        <v>918</v>
      </c>
      <c r="T11" s="20">
        <f>VLOOKUP(B11,'2015 SQL Output'!$A$29:$T$50,19,FALSE)</f>
        <v>488</v>
      </c>
      <c r="U11" s="20">
        <f>VLOOKUP(B11,'2015 SQL Output'!$A$29:$T$50,20,FALSE)</f>
        <v>197</v>
      </c>
      <c r="V11" s="20" t="s">
        <v>27</v>
      </c>
      <c r="W11" s="20">
        <f>VLOOKUP(B11,'2015 SQL Output'!$A$53:$T$75,2,FALSE)</f>
        <v>1911</v>
      </c>
      <c r="X11" s="20">
        <f>VLOOKUP(B11,'2015 SQL Output'!$A$53:$T$75,3,FALSE)</f>
        <v>1863</v>
      </c>
      <c r="Y11" s="20">
        <f>VLOOKUP(B11,'2015 SQL Output'!$A$53:$T$75,4,FALSE)</f>
        <v>1693</v>
      </c>
      <c r="Z11" s="20">
        <f>VLOOKUP(B11,'2015 SQL Output'!$A$53:$T$75,5,FALSE)</f>
        <v>1748</v>
      </c>
      <c r="AA11" s="20">
        <f>VLOOKUP(B11,'2015 SQL Output'!$A$53:$T$75,6,FALSE)</f>
        <v>1660</v>
      </c>
      <c r="AB11" s="20">
        <f>VLOOKUP(B11,'2015 SQL Output'!$A$53:$T$75,7,FALSE)</f>
        <v>1922</v>
      </c>
      <c r="AC11" s="20">
        <f>VLOOKUP(B11,'2015 SQL Output'!$A$53:$T$75,8,FALSE)</f>
        <v>1769</v>
      </c>
      <c r="AD11" s="20">
        <f>VLOOKUP(B11,'2015 SQL Output'!$A$53:$T$75,9,FALSE)</f>
        <v>1758</v>
      </c>
      <c r="AE11" s="20">
        <f>VLOOKUP(B11,'2015 SQL Output'!$A$53:$T$75,10,FALSE)</f>
        <v>2050</v>
      </c>
      <c r="AF11" s="20">
        <f>VLOOKUP(B11,'2015 SQL Output'!$A$53:$T$75,11,FALSE)</f>
        <v>2380</v>
      </c>
      <c r="AG11" s="20">
        <f>VLOOKUP(B11,'2015 SQL Output'!$A$53:$T$75,12,FALSE)</f>
        <v>2519</v>
      </c>
      <c r="AH11" s="20">
        <f>VLOOKUP(B11,'2015 SQL Output'!$A$53:$T$75,13,FALSE)</f>
        <v>2477</v>
      </c>
      <c r="AI11" s="20">
        <f>VLOOKUP(B11,'2015 SQL Output'!$A$53:$T$75,14,FALSE)</f>
        <v>2414</v>
      </c>
      <c r="AJ11" s="20">
        <f>VLOOKUP(B11,'2015 SQL Output'!$A$53:$T$75,15,FALSE)</f>
        <v>2770</v>
      </c>
      <c r="AK11" s="20">
        <f>VLOOKUP(B11,'2015 SQL Output'!$A$53:$T$75,16,FALSE)</f>
        <v>2175</v>
      </c>
      <c r="AL11" s="20">
        <f>VLOOKUP(B11,'2015 SQL Output'!$A$53:$T$75,17,FALSE)</f>
        <v>1639</v>
      </c>
      <c r="AM11" s="20">
        <f>VLOOKUP(B11,'2015 SQL Output'!$A$53:$T$75,18,FALSE)</f>
        <v>1304</v>
      </c>
      <c r="AN11" s="20">
        <f>VLOOKUP(B11,'2015 SQL Output'!$A$53:$T$75,19,FALSE)</f>
        <v>880</v>
      </c>
      <c r="AO11" s="20">
        <f>VLOOKUP(B11,'2015 SQL Output'!$A$53:$T$75,20,FALSE)</f>
        <v>595</v>
      </c>
      <c r="AP11" s="20" t="s">
        <v>27</v>
      </c>
      <c r="AQ11" s="20">
        <f>VLOOKUP(B11,'2015 SQL Output'!$A$3:$T$24,2,FALSE)</f>
        <v>3908</v>
      </c>
      <c r="AR11" s="20">
        <f>VLOOKUP(B11,'2015 SQL Output'!$A$3:$T$24,3,FALSE)</f>
        <v>3893</v>
      </c>
      <c r="AS11" s="20">
        <f>VLOOKUP(B11,'2015 SQL Output'!$A$3:$T$24,4,FALSE)</f>
        <v>3453</v>
      </c>
      <c r="AT11" s="20">
        <f>VLOOKUP(B11,'2015 SQL Output'!$A$3:$T$24,5,FALSE)</f>
        <v>3586</v>
      </c>
      <c r="AU11" s="20">
        <f>VLOOKUP(B11,'2015 SQL Output'!$A$3:$T$24,6,FALSE)</f>
        <v>3480</v>
      </c>
      <c r="AV11" s="20">
        <f>VLOOKUP(B11,'2015 SQL Output'!$A$3:$T$24,7,FALSE)</f>
        <v>3933</v>
      </c>
      <c r="AW11" s="20">
        <f>VLOOKUP(B11,'2015 SQL Output'!$A$3:$T$24,8,FALSE)</f>
        <v>3592</v>
      </c>
      <c r="AX11" s="20">
        <f>VLOOKUP(B11,'2015 SQL Output'!$A$3:$T$24,9,FALSE)</f>
        <v>3486</v>
      </c>
      <c r="AY11" s="20">
        <f>VLOOKUP(B11,'2015 SQL Output'!$A$3:$T$24,10,FALSE)</f>
        <v>4118</v>
      </c>
      <c r="AZ11" s="20">
        <f>VLOOKUP(B11,'2015 SQL Output'!$A$3:$T$24,11,FALSE)</f>
        <v>4674</v>
      </c>
      <c r="BA11" s="20">
        <f>VLOOKUP(B11,'2015 SQL Output'!$A$3:$T$24,12,FALSE)</f>
        <v>4910</v>
      </c>
      <c r="BB11" s="20">
        <f>VLOOKUP(B11,'2015 SQL Output'!$A$3:$T$24,13,FALSE)</f>
        <v>4901</v>
      </c>
      <c r="BC11" s="20">
        <f>VLOOKUP(B11,'2015 SQL Output'!$A$3:$T$24,14,FALSE)</f>
        <v>4787</v>
      </c>
      <c r="BD11" s="20">
        <f>VLOOKUP(B11,'2015 SQL Output'!$A$3:$T$24,15,FALSE)</f>
        <v>5407</v>
      </c>
      <c r="BE11" s="20">
        <f>VLOOKUP(B11,'2015 SQL Output'!$A$3:$T$24,16,FALSE)</f>
        <v>4253</v>
      </c>
      <c r="BF11" s="20">
        <f>VLOOKUP(B11,'2015 SQL Output'!$A$3:$T$24,17,FALSE)</f>
        <v>3216</v>
      </c>
      <c r="BG11" s="20">
        <f>VLOOKUP(B11,'2015 SQL Output'!$A$3:$T$24,18,FALSE)</f>
        <v>2222</v>
      </c>
      <c r="BH11" s="20">
        <f>VLOOKUP(B11,'2015 SQL Output'!$A$3:$T$24,19,FALSE)</f>
        <v>1368</v>
      </c>
      <c r="BI11" s="20">
        <f>VLOOKUP(B11,'2015 SQL Output'!$A$3:$T$24,20,FALSE)</f>
        <v>792</v>
      </c>
      <c r="BJ11" s="20" t="s">
        <v>27</v>
      </c>
    </row>
    <row r="12" spans="1:62" s="8" customFormat="1">
      <c r="A12" s="20" t="s">
        <v>29</v>
      </c>
      <c r="B12" s="21" t="s">
        <v>30</v>
      </c>
      <c r="C12" s="20">
        <f>VLOOKUP(B12,'2015 SQL Output'!$A$29:$T$50,2,FALSE)</f>
        <v>3267</v>
      </c>
      <c r="D12" s="20">
        <f>VLOOKUP(B12,'2015 SQL Output'!$A$29:$T$50,3,FALSE)</f>
        <v>3528</v>
      </c>
      <c r="E12" s="20">
        <f>VLOOKUP(B12,'2015 SQL Output'!$A$29:$T$50,4,FALSE)</f>
        <v>3240</v>
      </c>
      <c r="F12" s="20">
        <f>VLOOKUP(B12,'2015 SQL Output'!$A$29:$T$50,5,FALSE)</f>
        <v>3831</v>
      </c>
      <c r="G12" s="20">
        <f>VLOOKUP(B12,'2015 SQL Output'!$A$29:$T$50,6,FALSE)</f>
        <v>5575</v>
      </c>
      <c r="H12" s="20">
        <f>VLOOKUP(B12,'2015 SQL Output'!$A$29:$T$50,7,FALSE)</f>
        <v>3738</v>
      </c>
      <c r="I12" s="20">
        <f>VLOOKUP(B12,'2015 SQL Output'!$A$29:$T$50,8,FALSE)</f>
        <v>3248</v>
      </c>
      <c r="J12" s="20">
        <f>VLOOKUP(B12,'2015 SQL Output'!$A$29:$T$50,9,FALSE)</f>
        <v>2958</v>
      </c>
      <c r="K12" s="20">
        <f>VLOOKUP(B12,'2015 SQL Output'!$A$29:$T$50,10,FALSE)</f>
        <v>3464</v>
      </c>
      <c r="L12" s="20">
        <f>VLOOKUP(B12,'2015 SQL Output'!$A$29:$T$50,11,FALSE)</f>
        <v>3832</v>
      </c>
      <c r="M12" s="20">
        <f>VLOOKUP(B12,'2015 SQL Output'!$A$29:$T$50,12,FALSE)</f>
        <v>4110</v>
      </c>
      <c r="N12" s="20">
        <f>VLOOKUP(B12,'2015 SQL Output'!$A$29:$T$50,13,FALSE)</f>
        <v>3821</v>
      </c>
      <c r="O12" s="20">
        <f>VLOOKUP(B12,'2015 SQL Output'!$A$29:$T$50,14,FALSE)</f>
        <v>3618</v>
      </c>
      <c r="P12" s="20">
        <f>VLOOKUP(B12,'2015 SQL Output'!$A$29:$T$50,15,FALSE)</f>
        <v>4229</v>
      </c>
      <c r="Q12" s="20">
        <f>VLOOKUP(B12,'2015 SQL Output'!$A$29:$T$50,16,FALSE)</f>
        <v>3159</v>
      </c>
      <c r="R12" s="20">
        <f>VLOOKUP(B12,'2015 SQL Output'!$A$29:$T$50,17,FALSE)</f>
        <v>2339</v>
      </c>
      <c r="S12" s="20">
        <f>VLOOKUP(B12,'2015 SQL Output'!$A$29:$T$50,18,FALSE)</f>
        <v>1629</v>
      </c>
      <c r="T12" s="20">
        <f>VLOOKUP(B12,'2015 SQL Output'!$A$29:$T$50,19,FALSE)</f>
        <v>884</v>
      </c>
      <c r="U12" s="20">
        <f>VLOOKUP(B12,'2015 SQL Output'!$A$29:$T$50,20,FALSE)</f>
        <v>385</v>
      </c>
      <c r="V12" s="20" t="s">
        <v>29</v>
      </c>
      <c r="W12" s="20">
        <f>VLOOKUP(B12,'2015 SQL Output'!$A$53:$T$75,2,FALSE)</f>
        <v>3117</v>
      </c>
      <c r="X12" s="20">
        <f>VLOOKUP(B12,'2015 SQL Output'!$A$53:$T$75,3,FALSE)</f>
        <v>3453</v>
      </c>
      <c r="Y12" s="20">
        <f>VLOOKUP(B12,'2015 SQL Output'!$A$53:$T$75,4,FALSE)</f>
        <v>2961</v>
      </c>
      <c r="Z12" s="20">
        <f>VLOOKUP(B12,'2015 SQL Output'!$A$53:$T$75,5,FALSE)</f>
        <v>3824</v>
      </c>
      <c r="AA12" s="20">
        <f>VLOOKUP(B12,'2015 SQL Output'!$A$53:$T$75,6,FALSE)</f>
        <v>5164</v>
      </c>
      <c r="AB12" s="20">
        <f>VLOOKUP(B12,'2015 SQL Output'!$A$53:$T$75,7,FALSE)</f>
        <v>3473</v>
      </c>
      <c r="AC12" s="20">
        <f>VLOOKUP(B12,'2015 SQL Output'!$A$53:$T$75,8,FALSE)</f>
        <v>2889</v>
      </c>
      <c r="AD12" s="20">
        <f>VLOOKUP(B12,'2015 SQL Output'!$A$53:$T$75,9,FALSE)</f>
        <v>2840</v>
      </c>
      <c r="AE12" s="20">
        <f>VLOOKUP(B12,'2015 SQL Output'!$A$53:$T$75,10,FALSE)</f>
        <v>3573</v>
      </c>
      <c r="AF12" s="20">
        <f>VLOOKUP(B12,'2015 SQL Output'!$A$53:$T$75,11,FALSE)</f>
        <v>4058</v>
      </c>
      <c r="AG12" s="20">
        <f>VLOOKUP(B12,'2015 SQL Output'!$A$53:$T$75,12,FALSE)</f>
        <v>4172</v>
      </c>
      <c r="AH12" s="20">
        <f>VLOOKUP(B12,'2015 SQL Output'!$A$53:$T$75,13,FALSE)</f>
        <v>3908</v>
      </c>
      <c r="AI12" s="20">
        <f>VLOOKUP(B12,'2015 SQL Output'!$A$53:$T$75,14,FALSE)</f>
        <v>3704</v>
      </c>
      <c r="AJ12" s="20">
        <f>VLOOKUP(B12,'2015 SQL Output'!$A$53:$T$75,15,FALSE)</f>
        <v>4129</v>
      </c>
      <c r="AK12" s="20">
        <f>VLOOKUP(B12,'2015 SQL Output'!$A$53:$T$75,16,FALSE)</f>
        <v>3341</v>
      </c>
      <c r="AL12" s="20">
        <f>VLOOKUP(B12,'2015 SQL Output'!$A$53:$T$75,17,FALSE)</f>
        <v>2573</v>
      </c>
      <c r="AM12" s="20">
        <f>VLOOKUP(B12,'2015 SQL Output'!$A$53:$T$75,18,FALSE)</f>
        <v>2230</v>
      </c>
      <c r="AN12" s="20">
        <f>VLOOKUP(B12,'2015 SQL Output'!$A$53:$T$75,19,FALSE)</f>
        <v>1566</v>
      </c>
      <c r="AO12" s="20">
        <f>VLOOKUP(B12,'2015 SQL Output'!$A$53:$T$75,20,FALSE)</f>
        <v>1034</v>
      </c>
      <c r="AP12" s="20" t="s">
        <v>29</v>
      </c>
      <c r="AQ12" s="20">
        <f>VLOOKUP(B12,'2015 SQL Output'!$A$3:$T$24,2,FALSE)</f>
        <v>6384</v>
      </c>
      <c r="AR12" s="20">
        <f>VLOOKUP(B12,'2015 SQL Output'!$A$3:$T$24,3,FALSE)</f>
        <v>6981</v>
      </c>
      <c r="AS12" s="20">
        <f>VLOOKUP(B12,'2015 SQL Output'!$A$3:$T$24,4,FALSE)</f>
        <v>6201</v>
      </c>
      <c r="AT12" s="20">
        <f>VLOOKUP(B12,'2015 SQL Output'!$A$3:$T$24,5,FALSE)</f>
        <v>7655</v>
      </c>
      <c r="AU12" s="20">
        <f>VLOOKUP(B12,'2015 SQL Output'!$A$3:$T$24,6,FALSE)</f>
        <v>10739</v>
      </c>
      <c r="AV12" s="20">
        <f>VLOOKUP(B12,'2015 SQL Output'!$A$3:$T$24,7,FALSE)</f>
        <v>7211</v>
      </c>
      <c r="AW12" s="20">
        <f>VLOOKUP(B12,'2015 SQL Output'!$A$3:$T$24,8,FALSE)</f>
        <v>6137</v>
      </c>
      <c r="AX12" s="20">
        <f>VLOOKUP(B12,'2015 SQL Output'!$A$3:$T$24,9,FALSE)</f>
        <v>5798</v>
      </c>
      <c r="AY12" s="20">
        <f>VLOOKUP(B12,'2015 SQL Output'!$A$3:$T$24,10,FALSE)</f>
        <v>7037</v>
      </c>
      <c r="AZ12" s="20">
        <f>VLOOKUP(B12,'2015 SQL Output'!$A$3:$T$24,11,FALSE)</f>
        <v>7890</v>
      </c>
      <c r="BA12" s="20">
        <f>VLOOKUP(B12,'2015 SQL Output'!$A$3:$T$24,12,FALSE)</f>
        <v>8282</v>
      </c>
      <c r="BB12" s="20">
        <f>VLOOKUP(B12,'2015 SQL Output'!$A$3:$T$24,13,FALSE)</f>
        <v>7729</v>
      </c>
      <c r="BC12" s="20">
        <f>VLOOKUP(B12,'2015 SQL Output'!$A$3:$T$24,14,FALSE)</f>
        <v>7322</v>
      </c>
      <c r="BD12" s="20">
        <f>VLOOKUP(B12,'2015 SQL Output'!$A$3:$T$24,15,FALSE)</f>
        <v>8358</v>
      </c>
      <c r="BE12" s="20">
        <f>VLOOKUP(B12,'2015 SQL Output'!$A$3:$T$24,16,FALSE)</f>
        <v>6500</v>
      </c>
      <c r="BF12" s="20">
        <f>VLOOKUP(B12,'2015 SQL Output'!$A$3:$T$24,17,FALSE)</f>
        <v>4912</v>
      </c>
      <c r="BG12" s="20">
        <f>VLOOKUP(B12,'2015 SQL Output'!$A$3:$T$24,18,FALSE)</f>
        <v>3859</v>
      </c>
      <c r="BH12" s="20">
        <f>VLOOKUP(B12,'2015 SQL Output'!$A$3:$T$24,19,FALSE)</f>
        <v>2450</v>
      </c>
      <c r="BI12" s="20">
        <f>VLOOKUP(B12,'2015 SQL Output'!$A$3:$T$24,20,FALSE)</f>
        <v>1419</v>
      </c>
      <c r="BJ12" s="20" t="s">
        <v>29</v>
      </c>
    </row>
    <row r="13" spans="1:62" s="8" customFormat="1">
      <c r="A13" s="20" t="s">
        <v>31</v>
      </c>
      <c r="B13" s="21" t="s">
        <v>32</v>
      </c>
      <c r="C13" s="20">
        <f>VLOOKUP(B13,'2015 SQL Output'!$A$29:$T$50,2,FALSE)</f>
        <v>2965</v>
      </c>
      <c r="D13" s="20">
        <f>VLOOKUP(B13,'2015 SQL Output'!$A$29:$T$50,3,FALSE)</f>
        <v>3106</v>
      </c>
      <c r="E13" s="20">
        <f>VLOOKUP(B13,'2015 SQL Output'!$A$29:$T$50,4,FALSE)</f>
        <v>2982</v>
      </c>
      <c r="F13" s="20">
        <f>VLOOKUP(B13,'2015 SQL Output'!$A$29:$T$50,5,FALSE)</f>
        <v>3329</v>
      </c>
      <c r="G13" s="20">
        <f>VLOOKUP(B13,'2015 SQL Output'!$A$29:$T$50,6,FALSE)</f>
        <v>2849</v>
      </c>
      <c r="H13" s="20">
        <f>VLOOKUP(B13,'2015 SQL Output'!$A$29:$T$50,7,FALSE)</f>
        <v>3084</v>
      </c>
      <c r="I13" s="20">
        <f>VLOOKUP(B13,'2015 SQL Output'!$A$29:$T$50,8,FALSE)</f>
        <v>2701</v>
      </c>
      <c r="J13" s="20">
        <f>VLOOKUP(B13,'2015 SQL Output'!$A$29:$T$50,9,FALSE)</f>
        <v>2747</v>
      </c>
      <c r="K13" s="20">
        <f>VLOOKUP(B13,'2015 SQL Output'!$A$29:$T$50,10,FALSE)</f>
        <v>3200</v>
      </c>
      <c r="L13" s="20">
        <f>VLOOKUP(B13,'2015 SQL Output'!$A$29:$T$50,11,FALSE)</f>
        <v>3842</v>
      </c>
      <c r="M13" s="20">
        <f>VLOOKUP(B13,'2015 SQL Output'!$A$29:$T$50,12,FALSE)</f>
        <v>4165</v>
      </c>
      <c r="N13" s="20">
        <f>VLOOKUP(B13,'2015 SQL Output'!$A$29:$T$50,13,FALSE)</f>
        <v>3901</v>
      </c>
      <c r="O13" s="20">
        <f>VLOOKUP(B13,'2015 SQL Output'!$A$29:$T$50,14,FALSE)</f>
        <v>3675</v>
      </c>
      <c r="P13" s="20">
        <f>VLOOKUP(B13,'2015 SQL Output'!$A$29:$T$50,15,FALSE)</f>
        <v>4390</v>
      </c>
      <c r="Q13" s="20">
        <f>VLOOKUP(B13,'2015 SQL Output'!$A$29:$T$50,16,FALSE)</f>
        <v>3484</v>
      </c>
      <c r="R13" s="20">
        <f>VLOOKUP(B13,'2015 SQL Output'!$A$29:$T$50,17,FALSE)</f>
        <v>2602</v>
      </c>
      <c r="S13" s="20">
        <f>VLOOKUP(B13,'2015 SQL Output'!$A$29:$T$50,18,FALSE)</f>
        <v>1893</v>
      </c>
      <c r="T13" s="20">
        <f>VLOOKUP(B13,'2015 SQL Output'!$A$29:$T$50,19,FALSE)</f>
        <v>1081</v>
      </c>
      <c r="U13" s="20">
        <f>VLOOKUP(B13,'2015 SQL Output'!$A$29:$T$50,20,FALSE)</f>
        <v>541</v>
      </c>
      <c r="V13" s="20" t="s">
        <v>31</v>
      </c>
      <c r="W13" s="20">
        <f>VLOOKUP(B13,'2015 SQL Output'!$A$53:$T$75,2,FALSE)</f>
        <v>2799</v>
      </c>
      <c r="X13" s="20">
        <f>VLOOKUP(B13,'2015 SQL Output'!$A$53:$T$75,3,FALSE)</f>
        <v>2970</v>
      </c>
      <c r="Y13" s="20">
        <f>VLOOKUP(B13,'2015 SQL Output'!$A$53:$T$75,4,FALSE)</f>
        <v>2780</v>
      </c>
      <c r="Z13" s="20">
        <f>VLOOKUP(B13,'2015 SQL Output'!$A$53:$T$75,5,FALSE)</f>
        <v>3036</v>
      </c>
      <c r="AA13" s="20">
        <f>VLOOKUP(B13,'2015 SQL Output'!$A$53:$T$75,6,FALSE)</f>
        <v>2603</v>
      </c>
      <c r="AB13" s="20">
        <f>VLOOKUP(B13,'2015 SQL Output'!$A$53:$T$75,7,FALSE)</f>
        <v>2846</v>
      </c>
      <c r="AC13" s="20">
        <f>VLOOKUP(B13,'2015 SQL Output'!$A$53:$T$75,8,FALSE)</f>
        <v>2850</v>
      </c>
      <c r="AD13" s="20">
        <f>VLOOKUP(B13,'2015 SQL Output'!$A$53:$T$75,9,FALSE)</f>
        <v>2693</v>
      </c>
      <c r="AE13" s="20">
        <f>VLOOKUP(B13,'2015 SQL Output'!$A$53:$T$75,10,FALSE)</f>
        <v>3403</v>
      </c>
      <c r="AF13" s="20">
        <f>VLOOKUP(B13,'2015 SQL Output'!$A$53:$T$75,11,FALSE)</f>
        <v>4134</v>
      </c>
      <c r="AG13" s="20">
        <f>VLOOKUP(B13,'2015 SQL Output'!$A$53:$T$75,12,FALSE)</f>
        <v>4440</v>
      </c>
      <c r="AH13" s="20">
        <f>VLOOKUP(B13,'2015 SQL Output'!$A$53:$T$75,13,FALSE)</f>
        <v>4178</v>
      </c>
      <c r="AI13" s="20">
        <f>VLOOKUP(B13,'2015 SQL Output'!$A$53:$T$75,14,FALSE)</f>
        <v>4051</v>
      </c>
      <c r="AJ13" s="20">
        <f>VLOOKUP(B13,'2015 SQL Output'!$A$53:$T$75,15,FALSE)</f>
        <v>4590</v>
      </c>
      <c r="AK13" s="20">
        <f>VLOOKUP(B13,'2015 SQL Output'!$A$53:$T$75,16,FALSE)</f>
        <v>3646</v>
      </c>
      <c r="AL13" s="20">
        <f>VLOOKUP(B13,'2015 SQL Output'!$A$53:$T$75,17,FALSE)</f>
        <v>3083</v>
      </c>
      <c r="AM13" s="20">
        <f>VLOOKUP(B13,'2015 SQL Output'!$A$53:$T$75,18,FALSE)</f>
        <v>2514</v>
      </c>
      <c r="AN13" s="20">
        <f>VLOOKUP(B13,'2015 SQL Output'!$A$53:$T$75,19,FALSE)</f>
        <v>1827</v>
      </c>
      <c r="AO13" s="20">
        <f>VLOOKUP(B13,'2015 SQL Output'!$A$53:$T$75,20,FALSE)</f>
        <v>1238</v>
      </c>
      <c r="AP13" s="20" t="s">
        <v>31</v>
      </c>
      <c r="AQ13" s="20">
        <f>VLOOKUP(B13,'2015 SQL Output'!$A$3:$T$24,2,FALSE)</f>
        <v>5764</v>
      </c>
      <c r="AR13" s="20">
        <f>VLOOKUP(B13,'2015 SQL Output'!$A$3:$T$24,3,FALSE)</f>
        <v>6076</v>
      </c>
      <c r="AS13" s="20">
        <f>VLOOKUP(B13,'2015 SQL Output'!$A$3:$T$24,4,FALSE)</f>
        <v>5762</v>
      </c>
      <c r="AT13" s="20">
        <f>VLOOKUP(B13,'2015 SQL Output'!$A$3:$T$24,5,FALSE)</f>
        <v>6365</v>
      </c>
      <c r="AU13" s="20">
        <f>VLOOKUP(B13,'2015 SQL Output'!$A$3:$T$24,6,FALSE)</f>
        <v>5452</v>
      </c>
      <c r="AV13" s="20">
        <f>VLOOKUP(B13,'2015 SQL Output'!$A$3:$T$24,7,FALSE)</f>
        <v>5930</v>
      </c>
      <c r="AW13" s="20">
        <f>VLOOKUP(B13,'2015 SQL Output'!$A$3:$T$24,8,FALSE)</f>
        <v>5551</v>
      </c>
      <c r="AX13" s="20">
        <f>VLOOKUP(B13,'2015 SQL Output'!$A$3:$T$24,9,FALSE)</f>
        <v>5440</v>
      </c>
      <c r="AY13" s="20">
        <f>VLOOKUP(B13,'2015 SQL Output'!$A$3:$T$24,10,FALSE)</f>
        <v>6603</v>
      </c>
      <c r="AZ13" s="20">
        <f>VLOOKUP(B13,'2015 SQL Output'!$A$3:$T$24,11,FALSE)</f>
        <v>7976</v>
      </c>
      <c r="BA13" s="20">
        <f>VLOOKUP(B13,'2015 SQL Output'!$A$3:$T$24,12,FALSE)</f>
        <v>8605</v>
      </c>
      <c r="BB13" s="20">
        <f>VLOOKUP(B13,'2015 SQL Output'!$A$3:$T$24,13,FALSE)</f>
        <v>8079</v>
      </c>
      <c r="BC13" s="20">
        <f>VLOOKUP(B13,'2015 SQL Output'!$A$3:$T$24,14,FALSE)</f>
        <v>7726</v>
      </c>
      <c r="BD13" s="20">
        <f>VLOOKUP(B13,'2015 SQL Output'!$A$3:$T$24,15,FALSE)</f>
        <v>8980</v>
      </c>
      <c r="BE13" s="20">
        <f>VLOOKUP(B13,'2015 SQL Output'!$A$3:$T$24,16,FALSE)</f>
        <v>7130</v>
      </c>
      <c r="BF13" s="20">
        <f>VLOOKUP(B13,'2015 SQL Output'!$A$3:$T$24,17,FALSE)</f>
        <v>5685</v>
      </c>
      <c r="BG13" s="20">
        <f>VLOOKUP(B13,'2015 SQL Output'!$A$3:$T$24,18,FALSE)</f>
        <v>4407</v>
      </c>
      <c r="BH13" s="20">
        <f>VLOOKUP(B13,'2015 SQL Output'!$A$3:$T$24,19,FALSE)</f>
        <v>2908</v>
      </c>
      <c r="BI13" s="20">
        <f>VLOOKUP(B13,'2015 SQL Output'!$A$3:$T$24,20,FALSE)</f>
        <v>1779</v>
      </c>
      <c r="BJ13" s="20" t="s">
        <v>31</v>
      </c>
    </row>
    <row r="14" spans="1:62" s="8" customFormat="1">
      <c r="A14" s="20" t="s">
        <v>33</v>
      </c>
      <c r="B14" s="21" t="s">
        <v>34</v>
      </c>
      <c r="C14" s="20">
        <f>VLOOKUP(B14,'2015 SQL Output'!$A$29:$T$50,2,FALSE)</f>
        <v>2760</v>
      </c>
      <c r="D14" s="20">
        <f>VLOOKUP(B14,'2015 SQL Output'!$A$29:$T$50,3,FALSE)</f>
        <v>2833</v>
      </c>
      <c r="E14" s="20">
        <f>VLOOKUP(B14,'2015 SQL Output'!$A$29:$T$50,4,FALSE)</f>
        <v>2759</v>
      </c>
      <c r="F14" s="20">
        <f>VLOOKUP(B14,'2015 SQL Output'!$A$29:$T$50,5,FALSE)</f>
        <v>2842</v>
      </c>
      <c r="G14" s="20">
        <f>VLOOKUP(B14,'2015 SQL Output'!$A$29:$T$50,6,FALSE)</f>
        <v>2631</v>
      </c>
      <c r="H14" s="20">
        <f>VLOOKUP(B14,'2015 SQL Output'!$A$29:$T$50,7,FALSE)</f>
        <v>2694</v>
      </c>
      <c r="I14" s="20">
        <f>VLOOKUP(B14,'2015 SQL Output'!$A$29:$T$50,8,FALSE)</f>
        <v>2190</v>
      </c>
      <c r="J14" s="20">
        <f>VLOOKUP(B14,'2015 SQL Output'!$A$29:$T$50,9,FALSE)</f>
        <v>2165</v>
      </c>
      <c r="K14" s="20">
        <f>VLOOKUP(B14,'2015 SQL Output'!$A$29:$T$50,10,FALSE)</f>
        <v>2715</v>
      </c>
      <c r="L14" s="20">
        <f>VLOOKUP(B14,'2015 SQL Output'!$A$29:$T$50,11,FALSE)</f>
        <v>3164</v>
      </c>
      <c r="M14" s="20">
        <f>VLOOKUP(B14,'2015 SQL Output'!$A$29:$T$50,12,FALSE)</f>
        <v>3439</v>
      </c>
      <c r="N14" s="20">
        <f>VLOOKUP(B14,'2015 SQL Output'!$A$29:$T$50,13,FALSE)</f>
        <v>3130</v>
      </c>
      <c r="O14" s="20">
        <f>VLOOKUP(B14,'2015 SQL Output'!$A$29:$T$50,14,FALSE)</f>
        <v>3011</v>
      </c>
      <c r="P14" s="20">
        <f>VLOOKUP(B14,'2015 SQL Output'!$A$29:$T$50,15,FALSE)</f>
        <v>3500</v>
      </c>
      <c r="Q14" s="20">
        <f>VLOOKUP(B14,'2015 SQL Output'!$A$29:$T$50,16,FALSE)</f>
        <v>2634</v>
      </c>
      <c r="R14" s="20">
        <f>VLOOKUP(B14,'2015 SQL Output'!$A$29:$T$50,17,FALSE)</f>
        <v>1911</v>
      </c>
      <c r="S14" s="20">
        <f>VLOOKUP(B14,'2015 SQL Output'!$A$29:$T$50,18,FALSE)</f>
        <v>1315</v>
      </c>
      <c r="T14" s="20">
        <f>VLOOKUP(B14,'2015 SQL Output'!$A$29:$T$50,19,FALSE)</f>
        <v>710</v>
      </c>
      <c r="U14" s="20">
        <f>VLOOKUP(B14,'2015 SQL Output'!$A$29:$T$50,20,FALSE)</f>
        <v>277</v>
      </c>
      <c r="V14" s="20" t="s">
        <v>33</v>
      </c>
      <c r="W14" s="20">
        <f>VLOOKUP(B14,'2015 SQL Output'!$A$53:$T$75,2,FALSE)</f>
        <v>2711</v>
      </c>
      <c r="X14" s="20">
        <f>VLOOKUP(B14,'2015 SQL Output'!$A$53:$T$75,3,FALSE)</f>
        <v>2709</v>
      </c>
      <c r="Y14" s="20">
        <f>VLOOKUP(B14,'2015 SQL Output'!$A$53:$T$75,4,FALSE)</f>
        <v>2357</v>
      </c>
      <c r="Z14" s="20">
        <f>VLOOKUP(B14,'2015 SQL Output'!$A$53:$T$75,5,FALSE)</f>
        <v>2543</v>
      </c>
      <c r="AA14" s="20">
        <f>VLOOKUP(B14,'2015 SQL Output'!$A$53:$T$75,6,FALSE)</f>
        <v>2449</v>
      </c>
      <c r="AB14" s="20">
        <f>VLOOKUP(B14,'2015 SQL Output'!$A$53:$T$75,7,FALSE)</f>
        <v>2575</v>
      </c>
      <c r="AC14" s="20">
        <f>VLOOKUP(B14,'2015 SQL Output'!$A$53:$T$75,8,FALSE)</f>
        <v>2148</v>
      </c>
      <c r="AD14" s="20">
        <f>VLOOKUP(B14,'2015 SQL Output'!$A$53:$T$75,9,FALSE)</f>
        <v>2465</v>
      </c>
      <c r="AE14" s="20">
        <f>VLOOKUP(B14,'2015 SQL Output'!$A$53:$T$75,10,FALSE)</f>
        <v>2957</v>
      </c>
      <c r="AF14" s="20">
        <f>VLOOKUP(B14,'2015 SQL Output'!$A$53:$T$75,11,FALSE)</f>
        <v>3504</v>
      </c>
      <c r="AG14" s="20">
        <f>VLOOKUP(B14,'2015 SQL Output'!$A$53:$T$75,12,FALSE)</f>
        <v>3564</v>
      </c>
      <c r="AH14" s="20">
        <f>VLOOKUP(B14,'2015 SQL Output'!$A$53:$T$75,13,FALSE)</f>
        <v>3133</v>
      </c>
      <c r="AI14" s="20">
        <f>VLOOKUP(B14,'2015 SQL Output'!$A$53:$T$75,14,FALSE)</f>
        <v>3188</v>
      </c>
      <c r="AJ14" s="20">
        <f>VLOOKUP(B14,'2015 SQL Output'!$A$53:$T$75,15,FALSE)</f>
        <v>3532</v>
      </c>
      <c r="AK14" s="20">
        <f>VLOOKUP(B14,'2015 SQL Output'!$A$53:$T$75,16,FALSE)</f>
        <v>2801</v>
      </c>
      <c r="AL14" s="20">
        <f>VLOOKUP(B14,'2015 SQL Output'!$A$53:$T$75,17,FALSE)</f>
        <v>2161</v>
      </c>
      <c r="AM14" s="20">
        <f>VLOOKUP(B14,'2015 SQL Output'!$A$53:$T$75,18,FALSE)</f>
        <v>1570</v>
      </c>
      <c r="AN14" s="20">
        <f>VLOOKUP(B14,'2015 SQL Output'!$A$53:$T$75,19,FALSE)</f>
        <v>1031</v>
      </c>
      <c r="AO14" s="20">
        <f>VLOOKUP(B14,'2015 SQL Output'!$A$53:$T$75,20,FALSE)</f>
        <v>613</v>
      </c>
      <c r="AP14" s="20" t="s">
        <v>33</v>
      </c>
      <c r="AQ14" s="20">
        <f>VLOOKUP(B14,'2015 SQL Output'!$A$3:$T$24,2,FALSE)</f>
        <v>5471</v>
      </c>
      <c r="AR14" s="20">
        <f>VLOOKUP(B14,'2015 SQL Output'!$A$3:$T$24,3,FALSE)</f>
        <v>5542</v>
      </c>
      <c r="AS14" s="20">
        <f>VLOOKUP(B14,'2015 SQL Output'!$A$3:$T$24,4,FALSE)</f>
        <v>5116</v>
      </c>
      <c r="AT14" s="20">
        <f>VLOOKUP(B14,'2015 SQL Output'!$A$3:$T$24,5,FALSE)</f>
        <v>5385</v>
      </c>
      <c r="AU14" s="20">
        <f>VLOOKUP(B14,'2015 SQL Output'!$A$3:$T$24,6,FALSE)</f>
        <v>5080</v>
      </c>
      <c r="AV14" s="20">
        <f>VLOOKUP(B14,'2015 SQL Output'!$A$3:$T$24,7,FALSE)</f>
        <v>5269</v>
      </c>
      <c r="AW14" s="20">
        <f>VLOOKUP(B14,'2015 SQL Output'!$A$3:$T$24,8,FALSE)</f>
        <v>4338</v>
      </c>
      <c r="AX14" s="20">
        <f>VLOOKUP(B14,'2015 SQL Output'!$A$3:$T$24,9,FALSE)</f>
        <v>4630</v>
      </c>
      <c r="AY14" s="20">
        <f>VLOOKUP(B14,'2015 SQL Output'!$A$3:$T$24,10,FALSE)</f>
        <v>5672</v>
      </c>
      <c r="AZ14" s="20">
        <f>VLOOKUP(B14,'2015 SQL Output'!$A$3:$T$24,11,FALSE)</f>
        <v>6668</v>
      </c>
      <c r="BA14" s="20">
        <f>VLOOKUP(B14,'2015 SQL Output'!$A$3:$T$24,12,FALSE)</f>
        <v>7003</v>
      </c>
      <c r="BB14" s="20">
        <f>VLOOKUP(B14,'2015 SQL Output'!$A$3:$T$24,13,FALSE)</f>
        <v>6263</v>
      </c>
      <c r="BC14" s="20">
        <f>VLOOKUP(B14,'2015 SQL Output'!$A$3:$T$24,14,FALSE)</f>
        <v>6199</v>
      </c>
      <c r="BD14" s="20">
        <f>VLOOKUP(B14,'2015 SQL Output'!$A$3:$T$24,15,FALSE)</f>
        <v>7032</v>
      </c>
      <c r="BE14" s="20">
        <f>VLOOKUP(B14,'2015 SQL Output'!$A$3:$T$24,16,FALSE)</f>
        <v>5435</v>
      </c>
      <c r="BF14" s="20">
        <f>VLOOKUP(B14,'2015 SQL Output'!$A$3:$T$24,17,FALSE)</f>
        <v>4072</v>
      </c>
      <c r="BG14" s="20">
        <f>VLOOKUP(B14,'2015 SQL Output'!$A$3:$T$24,18,FALSE)</f>
        <v>2885</v>
      </c>
      <c r="BH14" s="20">
        <f>VLOOKUP(B14,'2015 SQL Output'!$A$3:$T$24,19,FALSE)</f>
        <v>1741</v>
      </c>
      <c r="BI14" s="20">
        <f>VLOOKUP(B14,'2015 SQL Output'!$A$3:$T$24,20,FALSE)</f>
        <v>890</v>
      </c>
      <c r="BJ14" s="20" t="s">
        <v>33</v>
      </c>
    </row>
    <row r="15" spans="1:62" s="8" customFormat="1">
      <c r="A15" s="20" t="s">
        <v>35</v>
      </c>
      <c r="B15" s="21" t="s">
        <v>36</v>
      </c>
      <c r="C15" s="20">
        <f>VLOOKUP(B15,'2015 SQL Output'!$A$29:$T$50,2,FALSE)</f>
        <v>4388</v>
      </c>
      <c r="D15" s="20">
        <f>VLOOKUP(B15,'2015 SQL Output'!$A$29:$T$50,3,FALSE)</f>
        <v>4788</v>
      </c>
      <c r="E15" s="20">
        <f>VLOOKUP(B15,'2015 SQL Output'!$A$29:$T$50,4,FALSE)</f>
        <v>4349</v>
      </c>
      <c r="F15" s="20">
        <f>VLOOKUP(B15,'2015 SQL Output'!$A$29:$T$50,5,FALSE)</f>
        <v>4590</v>
      </c>
      <c r="G15" s="20">
        <f>VLOOKUP(B15,'2015 SQL Output'!$A$29:$T$50,6,FALSE)</f>
        <v>4423</v>
      </c>
      <c r="H15" s="20">
        <f>VLOOKUP(B15,'2015 SQL Output'!$A$29:$T$50,7,FALSE)</f>
        <v>4810</v>
      </c>
      <c r="I15" s="20">
        <f>VLOOKUP(B15,'2015 SQL Output'!$A$29:$T$50,8,FALSE)</f>
        <v>4397</v>
      </c>
      <c r="J15" s="20">
        <f>VLOOKUP(B15,'2015 SQL Output'!$A$29:$T$50,9,FALSE)</f>
        <v>4162</v>
      </c>
      <c r="K15" s="20">
        <f>VLOOKUP(B15,'2015 SQL Output'!$A$29:$T$50,10,FALSE)</f>
        <v>5026</v>
      </c>
      <c r="L15" s="20">
        <f>VLOOKUP(B15,'2015 SQL Output'!$A$29:$T$50,11,FALSE)</f>
        <v>5571</v>
      </c>
      <c r="M15" s="20">
        <f>VLOOKUP(B15,'2015 SQL Output'!$A$29:$T$50,12,FALSE)</f>
        <v>5577</v>
      </c>
      <c r="N15" s="20">
        <f>VLOOKUP(B15,'2015 SQL Output'!$A$29:$T$50,13,FALSE)</f>
        <v>4853</v>
      </c>
      <c r="O15" s="20">
        <f>VLOOKUP(B15,'2015 SQL Output'!$A$29:$T$50,14,FALSE)</f>
        <v>4550</v>
      </c>
      <c r="P15" s="20">
        <f>VLOOKUP(B15,'2015 SQL Output'!$A$29:$T$50,15,FALSE)</f>
        <v>5065</v>
      </c>
      <c r="Q15" s="20">
        <f>VLOOKUP(B15,'2015 SQL Output'!$A$29:$T$50,16,FALSE)</f>
        <v>3732</v>
      </c>
      <c r="R15" s="20">
        <f>VLOOKUP(B15,'2015 SQL Output'!$A$29:$T$50,17,FALSE)</f>
        <v>2717</v>
      </c>
      <c r="S15" s="20">
        <f>VLOOKUP(B15,'2015 SQL Output'!$A$29:$T$50,18,FALSE)</f>
        <v>1699</v>
      </c>
      <c r="T15" s="20">
        <f>VLOOKUP(B15,'2015 SQL Output'!$A$29:$T$50,19,FALSE)</f>
        <v>832</v>
      </c>
      <c r="U15" s="20">
        <f>VLOOKUP(B15,'2015 SQL Output'!$A$29:$T$50,20,FALSE)</f>
        <v>397</v>
      </c>
      <c r="V15" s="20" t="s">
        <v>35</v>
      </c>
      <c r="W15" s="20">
        <f>VLOOKUP(B15,'2015 SQL Output'!$A$53:$T$75,2,FALSE)</f>
        <v>4200</v>
      </c>
      <c r="X15" s="20">
        <f>VLOOKUP(B15,'2015 SQL Output'!$A$53:$T$75,3,FALSE)</f>
        <v>4674</v>
      </c>
      <c r="Y15" s="20">
        <f>VLOOKUP(B15,'2015 SQL Output'!$A$53:$T$75,4,FALSE)</f>
        <v>4218</v>
      </c>
      <c r="Z15" s="20">
        <f>VLOOKUP(B15,'2015 SQL Output'!$A$53:$T$75,5,FALSE)</f>
        <v>4190</v>
      </c>
      <c r="AA15" s="20">
        <f>VLOOKUP(B15,'2015 SQL Output'!$A$53:$T$75,6,FALSE)</f>
        <v>4116</v>
      </c>
      <c r="AB15" s="20">
        <f>VLOOKUP(B15,'2015 SQL Output'!$A$53:$T$75,7,FALSE)</f>
        <v>4579</v>
      </c>
      <c r="AC15" s="20">
        <f>VLOOKUP(B15,'2015 SQL Output'!$A$53:$T$75,8,FALSE)</f>
        <v>4413</v>
      </c>
      <c r="AD15" s="20">
        <f>VLOOKUP(B15,'2015 SQL Output'!$A$53:$T$75,9,FALSE)</f>
        <v>4354</v>
      </c>
      <c r="AE15" s="20">
        <f>VLOOKUP(B15,'2015 SQL Output'!$A$53:$T$75,10,FALSE)</f>
        <v>5232</v>
      </c>
      <c r="AF15" s="20">
        <f>VLOOKUP(B15,'2015 SQL Output'!$A$53:$T$75,11,FALSE)</f>
        <v>5949</v>
      </c>
      <c r="AG15" s="20">
        <f>VLOOKUP(B15,'2015 SQL Output'!$A$53:$T$75,12,FALSE)</f>
        <v>5914</v>
      </c>
      <c r="AH15" s="20">
        <f>VLOOKUP(B15,'2015 SQL Output'!$A$53:$T$75,13,FALSE)</f>
        <v>4916</v>
      </c>
      <c r="AI15" s="20">
        <f>VLOOKUP(B15,'2015 SQL Output'!$A$53:$T$75,14,FALSE)</f>
        <v>4840</v>
      </c>
      <c r="AJ15" s="20">
        <f>VLOOKUP(B15,'2015 SQL Output'!$A$53:$T$75,15,FALSE)</f>
        <v>5322</v>
      </c>
      <c r="AK15" s="20">
        <f>VLOOKUP(B15,'2015 SQL Output'!$A$53:$T$75,16,FALSE)</f>
        <v>3931</v>
      </c>
      <c r="AL15" s="20">
        <f>VLOOKUP(B15,'2015 SQL Output'!$A$53:$T$75,17,FALSE)</f>
        <v>3052</v>
      </c>
      <c r="AM15" s="20">
        <f>VLOOKUP(B15,'2015 SQL Output'!$A$53:$T$75,18,FALSE)</f>
        <v>2056</v>
      </c>
      <c r="AN15" s="20">
        <f>VLOOKUP(B15,'2015 SQL Output'!$A$53:$T$75,19,FALSE)</f>
        <v>1349</v>
      </c>
      <c r="AO15" s="20">
        <f>VLOOKUP(B15,'2015 SQL Output'!$A$53:$T$75,20,FALSE)</f>
        <v>843</v>
      </c>
      <c r="AP15" s="20" t="s">
        <v>35</v>
      </c>
      <c r="AQ15" s="20">
        <f>VLOOKUP(B15,'2015 SQL Output'!$A$3:$T$24,2,FALSE)</f>
        <v>8588</v>
      </c>
      <c r="AR15" s="20">
        <f>VLOOKUP(B15,'2015 SQL Output'!$A$3:$T$24,3,FALSE)</f>
        <v>9462</v>
      </c>
      <c r="AS15" s="20">
        <f>VLOOKUP(B15,'2015 SQL Output'!$A$3:$T$24,4,FALSE)</f>
        <v>8567</v>
      </c>
      <c r="AT15" s="20">
        <f>VLOOKUP(B15,'2015 SQL Output'!$A$3:$T$24,5,FALSE)</f>
        <v>8780</v>
      </c>
      <c r="AU15" s="20">
        <f>VLOOKUP(B15,'2015 SQL Output'!$A$3:$T$24,6,FALSE)</f>
        <v>8539</v>
      </c>
      <c r="AV15" s="20">
        <f>VLOOKUP(B15,'2015 SQL Output'!$A$3:$T$24,7,FALSE)</f>
        <v>9389</v>
      </c>
      <c r="AW15" s="20">
        <f>VLOOKUP(B15,'2015 SQL Output'!$A$3:$T$24,8,FALSE)</f>
        <v>8810</v>
      </c>
      <c r="AX15" s="20">
        <f>VLOOKUP(B15,'2015 SQL Output'!$A$3:$T$24,9,FALSE)</f>
        <v>8516</v>
      </c>
      <c r="AY15" s="20">
        <f>VLOOKUP(B15,'2015 SQL Output'!$A$3:$T$24,10,FALSE)</f>
        <v>10258</v>
      </c>
      <c r="AZ15" s="20">
        <f>VLOOKUP(B15,'2015 SQL Output'!$A$3:$T$24,11,FALSE)</f>
        <v>11520</v>
      </c>
      <c r="BA15" s="20">
        <f>VLOOKUP(B15,'2015 SQL Output'!$A$3:$T$24,12,FALSE)</f>
        <v>11491</v>
      </c>
      <c r="BB15" s="20">
        <f>VLOOKUP(B15,'2015 SQL Output'!$A$3:$T$24,13,FALSE)</f>
        <v>9769</v>
      </c>
      <c r="BC15" s="20">
        <f>VLOOKUP(B15,'2015 SQL Output'!$A$3:$T$24,14,FALSE)</f>
        <v>9390</v>
      </c>
      <c r="BD15" s="20">
        <f>VLOOKUP(B15,'2015 SQL Output'!$A$3:$T$24,15,FALSE)</f>
        <v>10387</v>
      </c>
      <c r="BE15" s="20">
        <f>VLOOKUP(B15,'2015 SQL Output'!$A$3:$T$24,16,FALSE)</f>
        <v>7663</v>
      </c>
      <c r="BF15" s="20">
        <f>VLOOKUP(B15,'2015 SQL Output'!$A$3:$T$24,17,FALSE)</f>
        <v>5769</v>
      </c>
      <c r="BG15" s="20">
        <f>VLOOKUP(B15,'2015 SQL Output'!$A$3:$T$24,18,FALSE)</f>
        <v>3755</v>
      </c>
      <c r="BH15" s="20">
        <f>VLOOKUP(B15,'2015 SQL Output'!$A$3:$T$24,19,FALSE)</f>
        <v>2181</v>
      </c>
      <c r="BI15" s="20">
        <f>VLOOKUP(B15,'2015 SQL Output'!$A$3:$T$24,20,FALSE)</f>
        <v>1240</v>
      </c>
      <c r="BJ15" s="20" t="s">
        <v>35</v>
      </c>
    </row>
    <row r="16" spans="1:62" s="8" customFormat="1">
      <c r="A16" s="20" t="s">
        <v>37</v>
      </c>
      <c r="B16" s="21" t="s">
        <v>38</v>
      </c>
      <c r="C16" s="20">
        <f>VLOOKUP(B16,'2015 SQL Output'!$A$29:$T$50,2,FALSE)</f>
        <v>4311</v>
      </c>
      <c r="D16" s="20">
        <f>VLOOKUP(B16,'2015 SQL Output'!$A$29:$T$50,3,FALSE)</f>
        <v>4514</v>
      </c>
      <c r="E16" s="20">
        <f>VLOOKUP(B16,'2015 SQL Output'!$A$29:$T$50,4,FALSE)</f>
        <v>3916</v>
      </c>
      <c r="F16" s="20">
        <f>VLOOKUP(B16,'2015 SQL Output'!$A$29:$T$50,5,FALSE)</f>
        <v>4049</v>
      </c>
      <c r="G16" s="20">
        <f>VLOOKUP(B16,'2015 SQL Output'!$A$29:$T$50,6,FALSE)</f>
        <v>4139</v>
      </c>
      <c r="H16" s="20">
        <f>VLOOKUP(B16,'2015 SQL Output'!$A$29:$T$50,7,FALSE)</f>
        <v>4419</v>
      </c>
      <c r="I16" s="20">
        <f>VLOOKUP(B16,'2015 SQL Output'!$A$29:$T$50,8,FALSE)</f>
        <v>4468</v>
      </c>
      <c r="J16" s="20">
        <f>VLOOKUP(B16,'2015 SQL Output'!$A$29:$T$50,9,FALSE)</f>
        <v>4069</v>
      </c>
      <c r="K16" s="20">
        <f>VLOOKUP(B16,'2015 SQL Output'!$A$29:$T$50,10,FALSE)</f>
        <v>4598</v>
      </c>
      <c r="L16" s="20">
        <f>VLOOKUP(B16,'2015 SQL Output'!$A$29:$T$50,11,FALSE)</f>
        <v>4750</v>
      </c>
      <c r="M16" s="20">
        <f>VLOOKUP(B16,'2015 SQL Output'!$A$29:$T$50,12,FALSE)</f>
        <v>4849</v>
      </c>
      <c r="N16" s="20">
        <f>VLOOKUP(B16,'2015 SQL Output'!$A$29:$T$50,13,FALSE)</f>
        <v>4132</v>
      </c>
      <c r="O16" s="20">
        <f>VLOOKUP(B16,'2015 SQL Output'!$A$29:$T$50,14,FALSE)</f>
        <v>3899</v>
      </c>
      <c r="P16" s="20">
        <f>VLOOKUP(B16,'2015 SQL Output'!$A$29:$T$50,15,FALSE)</f>
        <v>4099</v>
      </c>
      <c r="Q16" s="20">
        <f>VLOOKUP(B16,'2015 SQL Output'!$A$29:$T$50,16,FALSE)</f>
        <v>3135</v>
      </c>
      <c r="R16" s="20">
        <f>VLOOKUP(B16,'2015 SQL Output'!$A$29:$T$50,17,FALSE)</f>
        <v>2201</v>
      </c>
      <c r="S16" s="20">
        <f>VLOOKUP(B16,'2015 SQL Output'!$A$29:$T$50,18,FALSE)</f>
        <v>1450</v>
      </c>
      <c r="T16" s="20">
        <f>VLOOKUP(B16,'2015 SQL Output'!$A$29:$T$50,19,FALSE)</f>
        <v>791</v>
      </c>
      <c r="U16" s="20">
        <f>VLOOKUP(B16,'2015 SQL Output'!$A$29:$T$50,20,FALSE)</f>
        <v>324</v>
      </c>
      <c r="V16" s="20" t="s">
        <v>37</v>
      </c>
      <c r="W16" s="20">
        <f>VLOOKUP(B16,'2015 SQL Output'!$A$53:$T$75,2,FALSE)</f>
        <v>4236</v>
      </c>
      <c r="X16" s="20">
        <f>VLOOKUP(B16,'2015 SQL Output'!$A$53:$T$75,3,FALSE)</f>
        <v>4214</v>
      </c>
      <c r="Y16" s="20">
        <f>VLOOKUP(B16,'2015 SQL Output'!$A$53:$T$75,4,FALSE)</f>
        <v>3606</v>
      </c>
      <c r="Z16" s="20">
        <f>VLOOKUP(B16,'2015 SQL Output'!$A$53:$T$75,5,FALSE)</f>
        <v>3577</v>
      </c>
      <c r="AA16" s="20">
        <f>VLOOKUP(B16,'2015 SQL Output'!$A$53:$T$75,6,FALSE)</f>
        <v>3747</v>
      </c>
      <c r="AB16" s="20">
        <f>VLOOKUP(B16,'2015 SQL Output'!$A$53:$T$75,7,FALSE)</f>
        <v>4297</v>
      </c>
      <c r="AC16" s="20">
        <f>VLOOKUP(B16,'2015 SQL Output'!$A$53:$T$75,8,FALSE)</f>
        <v>4521</v>
      </c>
      <c r="AD16" s="20">
        <f>VLOOKUP(B16,'2015 SQL Output'!$A$53:$T$75,9,FALSE)</f>
        <v>3846</v>
      </c>
      <c r="AE16" s="20">
        <f>VLOOKUP(B16,'2015 SQL Output'!$A$53:$T$75,10,FALSE)</f>
        <v>4543</v>
      </c>
      <c r="AF16" s="20">
        <f>VLOOKUP(B16,'2015 SQL Output'!$A$53:$T$75,11,FALSE)</f>
        <v>5027</v>
      </c>
      <c r="AG16" s="20">
        <f>VLOOKUP(B16,'2015 SQL Output'!$A$53:$T$75,12,FALSE)</f>
        <v>4791</v>
      </c>
      <c r="AH16" s="20">
        <f>VLOOKUP(B16,'2015 SQL Output'!$A$53:$T$75,13,FALSE)</f>
        <v>4296</v>
      </c>
      <c r="AI16" s="20">
        <f>VLOOKUP(B16,'2015 SQL Output'!$A$53:$T$75,14,FALSE)</f>
        <v>4094</v>
      </c>
      <c r="AJ16" s="20">
        <f>VLOOKUP(B16,'2015 SQL Output'!$A$53:$T$75,15,FALSE)</f>
        <v>4231</v>
      </c>
      <c r="AK16" s="20">
        <f>VLOOKUP(B16,'2015 SQL Output'!$A$53:$T$75,16,FALSE)</f>
        <v>3238</v>
      </c>
      <c r="AL16" s="20">
        <f>VLOOKUP(B16,'2015 SQL Output'!$A$53:$T$75,17,FALSE)</f>
        <v>2392</v>
      </c>
      <c r="AM16" s="20">
        <f>VLOOKUP(B16,'2015 SQL Output'!$A$53:$T$75,18,FALSE)</f>
        <v>1879</v>
      </c>
      <c r="AN16" s="20">
        <f>VLOOKUP(B16,'2015 SQL Output'!$A$53:$T$75,19,FALSE)</f>
        <v>1218</v>
      </c>
      <c r="AO16" s="20">
        <f>VLOOKUP(B16,'2015 SQL Output'!$A$53:$T$75,20,FALSE)</f>
        <v>781</v>
      </c>
      <c r="AP16" s="20" t="s">
        <v>37</v>
      </c>
      <c r="AQ16" s="20">
        <f>VLOOKUP(B16,'2015 SQL Output'!$A$3:$T$24,2,FALSE)</f>
        <v>8547</v>
      </c>
      <c r="AR16" s="20">
        <f>VLOOKUP(B16,'2015 SQL Output'!$A$3:$T$24,3,FALSE)</f>
        <v>8728</v>
      </c>
      <c r="AS16" s="20">
        <f>VLOOKUP(B16,'2015 SQL Output'!$A$3:$T$24,4,FALSE)</f>
        <v>7522</v>
      </c>
      <c r="AT16" s="20">
        <f>VLOOKUP(B16,'2015 SQL Output'!$A$3:$T$24,5,FALSE)</f>
        <v>7626</v>
      </c>
      <c r="AU16" s="20">
        <f>VLOOKUP(B16,'2015 SQL Output'!$A$3:$T$24,6,FALSE)</f>
        <v>7886</v>
      </c>
      <c r="AV16" s="20">
        <f>VLOOKUP(B16,'2015 SQL Output'!$A$3:$T$24,7,FALSE)</f>
        <v>8716</v>
      </c>
      <c r="AW16" s="20">
        <f>VLOOKUP(B16,'2015 SQL Output'!$A$3:$T$24,8,FALSE)</f>
        <v>8989</v>
      </c>
      <c r="AX16" s="20">
        <f>VLOOKUP(B16,'2015 SQL Output'!$A$3:$T$24,9,FALSE)</f>
        <v>7915</v>
      </c>
      <c r="AY16" s="20">
        <f>VLOOKUP(B16,'2015 SQL Output'!$A$3:$T$24,10,FALSE)</f>
        <v>9141</v>
      </c>
      <c r="AZ16" s="20">
        <f>VLOOKUP(B16,'2015 SQL Output'!$A$3:$T$24,11,FALSE)</f>
        <v>9777</v>
      </c>
      <c r="BA16" s="20">
        <f>VLOOKUP(B16,'2015 SQL Output'!$A$3:$T$24,12,FALSE)</f>
        <v>9640</v>
      </c>
      <c r="BB16" s="20">
        <f>VLOOKUP(B16,'2015 SQL Output'!$A$3:$T$24,13,FALSE)</f>
        <v>8428</v>
      </c>
      <c r="BC16" s="20">
        <f>VLOOKUP(B16,'2015 SQL Output'!$A$3:$T$24,14,FALSE)</f>
        <v>7993</v>
      </c>
      <c r="BD16" s="20">
        <f>VLOOKUP(B16,'2015 SQL Output'!$A$3:$T$24,15,FALSE)</f>
        <v>8330</v>
      </c>
      <c r="BE16" s="20">
        <f>VLOOKUP(B16,'2015 SQL Output'!$A$3:$T$24,16,FALSE)</f>
        <v>6373</v>
      </c>
      <c r="BF16" s="20">
        <f>VLOOKUP(B16,'2015 SQL Output'!$A$3:$T$24,17,FALSE)</f>
        <v>4593</v>
      </c>
      <c r="BG16" s="20">
        <f>VLOOKUP(B16,'2015 SQL Output'!$A$3:$T$24,18,FALSE)</f>
        <v>3329</v>
      </c>
      <c r="BH16" s="20">
        <f>VLOOKUP(B16,'2015 SQL Output'!$A$3:$T$24,19,FALSE)</f>
        <v>2009</v>
      </c>
      <c r="BI16" s="20">
        <f>VLOOKUP(B16,'2015 SQL Output'!$A$3:$T$24,20,FALSE)</f>
        <v>1105</v>
      </c>
      <c r="BJ16" s="20" t="s">
        <v>37</v>
      </c>
    </row>
    <row r="17" spans="1:62" s="8" customFormat="1">
      <c r="A17" s="24" t="s">
        <v>40</v>
      </c>
      <c r="B17" s="25" t="s">
        <v>41</v>
      </c>
      <c r="C17" s="114">
        <f>VLOOKUP(B17,'2015 SQL Output'!$A$29:$T$50,2,FALSE)</f>
        <v>1679</v>
      </c>
      <c r="D17" s="114">
        <f>VLOOKUP(B17,'2015 SQL Output'!$A$29:$T$50,3,FALSE)</f>
        <v>1754</v>
      </c>
      <c r="E17" s="114">
        <f>VLOOKUP(B17,'2015 SQL Output'!$A$29:$T$50,4,FALSE)</f>
        <v>1771</v>
      </c>
      <c r="F17" s="114">
        <f>VLOOKUP(B17,'2015 SQL Output'!$A$29:$T$50,5,FALSE)</f>
        <v>2709</v>
      </c>
      <c r="G17" s="114">
        <f>VLOOKUP(B17,'2015 SQL Output'!$A$29:$T$50,6,FALSE)</f>
        <v>5458</v>
      </c>
      <c r="H17" s="114">
        <f>VLOOKUP(B17,'2015 SQL Output'!$A$29:$T$50,7,FALSE)</f>
        <v>1748</v>
      </c>
      <c r="I17" s="114">
        <f>VLOOKUP(B17,'2015 SQL Output'!$A$29:$T$50,8,FALSE)</f>
        <v>1525</v>
      </c>
      <c r="J17" s="114">
        <f>VLOOKUP(B17,'2015 SQL Output'!$A$29:$T$50,9,FALSE)</f>
        <v>1615</v>
      </c>
      <c r="K17" s="114">
        <f>VLOOKUP(B17,'2015 SQL Output'!$A$29:$T$50,10,FALSE)</f>
        <v>1726</v>
      </c>
      <c r="L17" s="114">
        <f>VLOOKUP(B17,'2015 SQL Output'!$A$29:$T$50,11,FALSE)</f>
        <v>2195</v>
      </c>
      <c r="M17" s="114">
        <f>VLOOKUP(B17,'2015 SQL Output'!$A$29:$T$50,12,FALSE)</f>
        <v>2353</v>
      </c>
      <c r="N17" s="114">
        <f>VLOOKUP(B17,'2015 SQL Output'!$A$29:$T$50,13,FALSE)</f>
        <v>2394</v>
      </c>
      <c r="O17" s="114">
        <f>VLOOKUP(B17,'2015 SQL Output'!$A$29:$T$50,14,FALSE)</f>
        <v>2382</v>
      </c>
      <c r="P17" s="114">
        <f>VLOOKUP(B17,'2015 SQL Output'!$A$29:$T$50,15,FALSE)</f>
        <v>2748</v>
      </c>
      <c r="Q17" s="114">
        <f>VLOOKUP(B17,'2015 SQL Output'!$A$29:$T$50,16,FALSE)</f>
        <v>2048</v>
      </c>
      <c r="R17" s="114">
        <f>VLOOKUP(B17,'2015 SQL Output'!$A$29:$T$50,17,FALSE)</f>
        <v>1511</v>
      </c>
      <c r="S17" s="114">
        <f>VLOOKUP(B17,'2015 SQL Output'!$A$29:$T$50,18,FALSE)</f>
        <v>1026</v>
      </c>
      <c r="T17" s="114">
        <f>VLOOKUP(B17,'2015 SQL Output'!$A$29:$T$50,19,FALSE)</f>
        <v>582</v>
      </c>
      <c r="U17" s="114">
        <f>VLOOKUP(B17,'2015 SQL Output'!$A$29:$T$50,20,FALSE)</f>
        <v>251</v>
      </c>
      <c r="V17" s="114" t="s">
        <v>40</v>
      </c>
      <c r="W17" s="114">
        <f>VLOOKUP(B17,'2015 SQL Output'!$A$53:$T$75,2,FALSE)</f>
        <v>1686</v>
      </c>
      <c r="X17" s="114">
        <f>VLOOKUP(B17,'2015 SQL Output'!$A$53:$T$75,3,FALSE)</f>
        <v>1680</v>
      </c>
      <c r="Y17" s="114">
        <f>VLOOKUP(B17,'2015 SQL Output'!$A$53:$T$75,4,FALSE)</f>
        <v>1654</v>
      </c>
      <c r="Z17" s="114">
        <f>VLOOKUP(B17,'2015 SQL Output'!$A$53:$T$75,5,FALSE)</f>
        <v>2454</v>
      </c>
      <c r="AA17" s="114">
        <f>VLOOKUP(B17,'2015 SQL Output'!$A$53:$T$75,6,FALSE)</f>
        <v>4102</v>
      </c>
      <c r="AB17" s="114">
        <f>VLOOKUP(B17,'2015 SQL Output'!$A$53:$T$75,7,FALSE)</f>
        <v>1592</v>
      </c>
      <c r="AC17" s="114">
        <f>VLOOKUP(B17,'2015 SQL Output'!$A$53:$T$75,8,FALSE)</f>
        <v>1501</v>
      </c>
      <c r="AD17" s="114">
        <f>VLOOKUP(B17,'2015 SQL Output'!$A$53:$T$75,9,FALSE)</f>
        <v>1603</v>
      </c>
      <c r="AE17" s="114">
        <f>VLOOKUP(B17,'2015 SQL Output'!$A$53:$T$75,10,FALSE)</f>
        <v>1853</v>
      </c>
      <c r="AF17" s="114">
        <f>VLOOKUP(B17,'2015 SQL Output'!$A$53:$T$75,11,FALSE)</f>
        <v>2264</v>
      </c>
      <c r="AG17" s="114">
        <f>VLOOKUP(B17,'2015 SQL Output'!$A$53:$T$75,12,FALSE)</f>
        <v>2567</v>
      </c>
      <c r="AH17" s="114">
        <f>VLOOKUP(B17,'2015 SQL Output'!$A$53:$T$75,13,FALSE)</f>
        <v>2492</v>
      </c>
      <c r="AI17" s="114">
        <f>VLOOKUP(B17,'2015 SQL Output'!$A$53:$T$75,14,FALSE)</f>
        <v>2544</v>
      </c>
      <c r="AJ17" s="114">
        <f>VLOOKUP(B17,'2015 SQL Output'!$A$53:$T$75,15,FALSE)</f>
        <v>2695</v>
      </c>
      <c r="AK17" s="114">
        <f>VLOOKUP(B17,'2015 SQL Output'!$A$53:$T$75,16,FALSE)</f>
        <v>2062</v>
      </c>
      <c r="AL17" s="114">
        <f>VLOOKUP(B17,'2015 SQL Output'!$A$53:$T$75,17,FALSE)</f>
        <v>1637</v>
      </c>
      <c r="AM17" s="114">
        <f>VLOOKUP(B17,'2015 SQL Output'!$A$53:$T$75,18,FALSE)</f>
        <v>1304</v>
      </c>
      <c r="AN17" s="114">
        <f>VLOOKUP(B17,'2015 SQL Output'!$A$53:$T$75,19,FALSE)</f>
        <v>866</v>
      </c>
      <c r="AO17" s="114">
        <f>VLOOKUP(B17,'2015 SQL Output'!$A$53:$T$75,20,FALSE)</f>
        <v>611</v>
      </c>
      <c r="AP17" s="114" t="s">
        <v>40</v>
      </c>
      <c r="AQ17" s="114">
        <f>VLOOKUP(B17,'2015 SQL Output'!$A$3:$T$24,2,FALSE)</f>
        <v>3365</v>
      </c>
      <c r="AR17" s="114">
        <f>VLOOKUP(B17,'2015 SQL Output'!$A$3:$T$24,3,FALSE)</f>
        <v>3434</v>
      </c>
      <c r="AS17" s="114">
        <f>VLOOKUP(B17,'2015 SQL Output'!$A$3:$T$24,4,FALSE)</f>
        <v>3425</v>
      </c>
      <c r="AT17" s="114">
        <f>VLOOKUP(B17,'2015 SQL Output'!$A$3:$T$24,5,FALSE)</f>
        <v>5163</v>
      </c>
      <c r="AU17" s="114">
        <f>VLOOKUP(B17,'2015 SQL Output'!$A$3:$T$24,6,FALSE)</f>
        <v>9560</v>
      </c>
      <c r="AV17" s="114">
        <f>VLOOKUP(B17,'2015 SQL Output'!$A$3:$T$24,7,FALSE)</f>
        <v>3340</v>
      </c>
      <c r="AW17" s="114">
        <f>VLOOKUP(B17,'2015 SQL Output'!$A$3:$T$24,8,FALSE)</f>
        <v>3026</v>
      </c>
      <c r="AX17" s="114">
        <f>VLOOKUP(B17,'2015 SQL Output'!$A$3:$T$24,9,FALSE)</f>
        <v>3218</v>
      </c>
      <c r="AY17" s="114">
        <f>VLOOKUP(B17,'2015 SQL Output'!$A$3:$T$24,10,FALSE)</f>
        <v>3579</v>
      </c>
      <c r="AZ17" s="114">
        <f>VLOOKUP(B17,'2015 SQL Output'!$A$3:$T$24,11,FALSE)</f>
        <v>4459</v>
      </c>
      <c r="BA17" s="114">
        <f>VLOOKUP(B17,'2015 SQL Output'!$A$3:$T$24,12,FALSE)</f>
        <v>4920</v>
      </c>
      <c r="BB17" s="114">
        <f>VLOOKUP(B17,'2015 SQL Output'!$A$3:$T$24,13,FALSE)</f>
        <v>4886</v>
      </c>
      <c r="BC17" s="114">
        <f>VLOOKUP(B17,'2015 SQL Output'!$A$3:$T$24,14,FALSE)</f>
        <v>4926</v>
      </c>
      <c r="BD17" s="114">
        <f>VLOOKUP(B17,'2015 SQL Output'!$A$3:$T$24,15,FALSE)</f>
        <v>5443</v>
      </c>
      <c r="BE17" s="114">
        <f>VLOOKUP(B17,'2015 SQL Output'!$A$3:$T$24,16,FALSE)</f>
        <v>4110</v>
      </c>
      <c r="BF17" s="114">
        <f>VLOOKUP(B17,'2015 SQL Output'!$A$3:$T$24,17,FALSE)</f>
        <v>3148</v>
      </c>
      <c r="BG17" s="114">
        <f>VLOOKUP(B17,'2015 SQL Output'!$A$3:$T$24,18,FALSE)</f>
        <v>2330</v>
      </c>
      <c r="BH17" s="114">
        <f>VLOOKUP(B17,'2015 SQL Output'!$A$3:$T$24,19,FALSE)</f>
        <v>1448</v>
      </c>
      <c r="BI17" s="114">
        <f>VLOOKUP(B17,'2015 SQL Output'!$A$3:$T$24,20,FALSE)</f>
        <v>862</v>
      </c>
      <c r="BJ17" s="24" t="s">
        <v>40</v>
      </c>
    </row>
    <row r="18" spans="1:62" s="8" customFormat="1">
      <c r="A18" s="24" t="s">
        <v>42</v>
      </c>
      <c r="B18" s="25" t="s">
        <v>43</v>
      </c>
      <c r="C18" s="114">
        <f>VLOOKUP(B18,'2015 SQL Output'!$A$29:$T$50,2,FALSE)</f>
        <v>3261</v>
      </c>
      <c r="D18" s="114">
        <f>VLOOKUP(B18,'2015 SQL Output'!$A$29:$T$50,3,FALSE)</f>
        <v>3589</v>
      </c>
      <c r="E18" s="114">
        <f>VLOOKUP(B18,'2015 SQL Output'!$A$29:$T$50,4,FALSE)</f>
        <v>3405</v>
      </c>
      <c r="F18" s="114">
        <f>VLOOKUP(B18,'2015 SQL Output'!$A$29:$T$50,5,FALSE)</f>
        <v>3781</v>
      </c>
      <c r="G18" s="114">
        <f>VLOOKUP(B18,'2015 SQL Output'!$A$29:$T$50,6,FALSE)</f>
        <v>3347</v>
      </c>
      <c r="H18" s="114">
        <f>VLOOKUP(B18,'2015 SQL Output'!$A$29:$T$50,7,FALSE)</f>
        <v>3527</v>
      </c>
      <c r="I18" s="114">
        <f>VLOOKUP(B18,'2015 SQL Output'!$A$29:$T$50,8,FALSE)</f>
        <v>2908</v>
      </c>
      <c r="J18" s="114">
        <f>VLOOKUP(B18,'2015 SQL Output'!$A$29:$T$50,9,FALSE)</f>
        <v>2793</v>
      </c>
      <c r="K18" s="114">
        <f>VLOOKUP(B18,'2015 SQL Output'!$A$29:$T$50,10,FALSE)</f>
        <v>3208</v>
      </c>
      <c r="L18" s="114">
        <f>VLOOKUP(B18,'2015 SQL Output'!$A$29:$T$50,11,FALSE)</f>
        <v>4141</v>
      </c>
      <c r="M18" s="114">
        <f>VLOOKUP(B18,'2015 SQL Output'!$A$29:$T$50,12,FALSE)</f>
        <v>4442</v>
      </c>
      <c r="N18" s="114">
        <f>VLOOKUP(B18,'2015 SQL Output'!$A$29:$T$50,13,FALSE)</f>
        <v>4082</v>
      </c>
      <c r="O18" s="114">
        <f>VLOOKUP(B18,'2015 SQL Output'!$A$29:$T$50,14,FALSE)</f>
        <v>4147</v>
      </c>
      <c r="P18" s="114">
        <f>VLOOKUP(B18,'2015 SQL Output'!$A$29:$T$50,15,FALSE)</f>
        <v>4523</v>
      </c>
      <c r="Q18" s="114">
        <f>VLOOKUP(B18,'2015 SQL Output'!$A$29:$T$50,16,FALSE)</f>
        <v>3546</v>
      </c>
      <c r="R18" s="114">
        <f>VLOOKUP(B18,'2015 SQL Output'!$A$29:$T$50,17,FALSE)</f>
        <v>2728</v>
      </c>
      <c r="S18" s="114">
        <f>VLOOKUP(B18,'2015 SQL Output'!$A$29:$T$50,18,FALSE)</f>
        <v>1799</v>
      </c>
      <c r="T18" s="114">
        <f>VLOOKUP(B18,'2015 SQL Output'!$A$29:$T$50,19,FALSE)</f>
        <v>939</v>
      </c>
      <c r="U18" s="114">
        <f>VLOOKUP(B18,'2015 SQL Output'!$A$29:$T$50,20,FALSE)</f>
        <v>440</v>
      </c>
      <c r="V18" s="114" t="s">
        <v>42</v>
      </c>
      <c r="W18" s="114">
        <f>VLOOKUP(B18,'2015 SQL Output'!$A$53:$T$75,2,FALSE)</f>
        <v>3221</v>
      </c>
      <c r="X18" s="114">
        <f>VLOOKUP(B18,'2015 SQL Output'!$A$53:$T$75,3,FALSE)</f>
        <v>3321</v>
      </c>
      <c r="Y18" s="114">
        <f>VLOOKUP(B18,'2015 SQL Output'!$A$53:$T$75,4,FALSE)</f>
        <v>3211</v>
      </c>
      <c r="Z18" s="114">
        <f>VLOOKUP(B18,'2015 SQL Output'!$A$53:$T$75,5,FALSE)</f>
        <v>3391</v>
      </c>
      <c r="AA18" s="114">
        <f>VLOOKUP(B18,'2015 SQL Output'!$A$53:$T$75,6,FALSE)</f>
        <v>3139</v>
      </c>
      <c r="AB18" s="114">
        <f>VLOOKUP(B18,'2015 SQL Output'!$A$53:$T$75,7,FALSE)</f>
        <v>3216</v>
      </c>
      <c r="AC18" s="114">
        <f>VLOOKUP(B18,'2015 SQL Output'!$A$53:$T$75,8,FALSE)</f>
        <v>2949</v>
      </c>
      <c r="AD18" s="114">
        <f>VLOOKUP(B18,'2015 SQL Output'!$A$53:$T$75,9,FALSE)</f>
        <v>2979</v>
      </c>
      <c r="AE18" s="114">
        <f>VLOOKUP(B18,'2015 SQL Output'!$A$53:$T$75,10,FALSE)</f>
        <v>3669</v>
      </c>
      <c r="AF18" s="114">
        <f>VLOOKUP(B18,'2015 SQL Output'!$A$53:$T$75,11,FALSE)</f>
        <v>4187</v>
      </c>
      <c r="AG18" s="114">
        <f>VLOOKUP(B18,'2015 SQL Output'!$A$53:$T$75,12,FALSE)</f>
        <v>4749</v>
      </c>
      <c r="AH18" s="114">
        <f>VLOOKUP(B18,'2015 SQL Output'!$A$53:$T$75,13,FALSE)</f>
        <v>4256</v>
      </c>
      <c r="AI18" s="114">
        <f>VLOOKUP(B18,'2015 SQL Output'!$A$53:$T$75,14,FALSE)</f>
        <v>4355</v>
      </c>
      <c r="AJ18" s="114">
        <f>VLOOKUP(B18,'2015 SQL Output'!$A$53:$T$75,15,FALSE)</f>
        <v>4825</v>
      </c>
      <c r="AK18" s="114">
        <f>VLOOKUP(B18,'2015 SQL Output'!$A$53:$T$75,16,FALSE)</f>
        <v>3780</v>
      </c>
      <c r="AL18" s="114">
        <f>VLOOKUP(B18,'2015 SQL Output'!$A$53:$T$75,17,FALSE)</f>
        <v>2839</v>
      </c>
      <c r="AM18" s="114">
        <f>VLOOKUP(B18,'2015 SQL Output'!$A$53:$T$75,18,FALSE)</f>
        <v>2290</v>
      </c>
      <c r="AN18" s="114">
        <f>VLOOKUP(B18,'2015 SQL Output'!$A$53:$T$75,19,FALSE)</f>
        <v>1471</v>
      </c>
      <c r="AO18" s="114">
        <f>VLOOKUP(B18,'2015 SQL Output'!$A$53:$T$75,20,FALSE)</f>
        <v>1010</v>
      </c>
      <c r="AP18" s="114" t="s">
        <v>42</v>
      </c>
      <c r="AQ18" s="114">
        <f>VLOOKUP(B18,'2015 SQL Output'!$A$3:$T$24,2,FALSE)</f>
        <v>6482</v>
      </c>
      <c r="AR18" s="114">
        <f>VLOOKUP(B18,'2015 SQL Output'!$A$3:$T$24,3,FALSE)</f>
        <v>6910</v>
      </c>
      <c r="AS18" s="114">
        <f>VLOOKUP(B18,'2015 SQL Output'!$A$3:$T$24,4,FALSE)</f>
        <v>6616</v>
      </c>
      <c r="AT18" s="114">
        <f>VLOOKUP(B18,'2015 SQL Output'!$A$3:$T$24,5,FALSE)</f>
        <v>7172</v>
      </c>
      <c r="AU18" s="114">
        <f>VLOOKUP(B18,'2015 SQL Output'!$A$3:$T$24,6,FALSE)</f>
        <v>6486</v>
      </c>
      <c r="AV18" s="114">
        <f>VLOOKUP(B18,'2015 SQL Output'!$A$3:$T$24,7,FALSE)</f>
        <v>6743</v>
      </c>
      <c r="AW18" s="114">
        <f>VLOOKUP(B18,'2015 SQL Output'!$A$3:$T$24,8,FALSE)</f>
        <v>5857</v>
      </c>
      <c r="AX18" s="114">
        <f>VLOOKUP(B18,'2015 SQL Output'!$A$3:$T$24,9,FALSE)</f>
        <v>5772</v>
      </c>
      <c r="AY18" s="114">
        <f>VLOOKUP(B18,'2015 SQL Output'!$A$3:$T$24,10,FALSE)</f>
        <v>6877</v>
      </c>
      <c r="AZ18" s="114">
        <f>VLOOKUP(B18,'2015 SQL Output'!$A$3:$T$24,11,FALSE)</f>
        <v>8328</v>
      </c>
      <c r="BA18" s="114">
        <f>VLOOKUP(B18,'2015 SQL Output'!$A$3:$T$24,12,FALSE)</f>
        <v>9191</v>
      </c>
      <c r="BB18" s="114">
        <f>VLOOKUP(B18,'2015 SQL Output'!$A$3:$T$24,13,FALSE)</f>
        <v>8338</v>
      </c>
      <c r="BC18" s="114">
        <f>VLOOKUP(B18,'2015 SQL Output'!$A$3:$T$24,14,FALSE)</f>
        <v>8502</v>
      </c>
      <c r="BD18" s="114">
        <f>VLOOKUP(B18,'2015 SQL Output'!$A$3:$T$24,15,FALSE)</f>
        <v>9348</v>
      </c>
      <c r="BE18" s="114">
        <f>VLOOKUP(B18,'2015 SQL Output'!$A$3:$T$24,16,FALSE)</f>
        <v>7326</v>
      </c>
      <c r="BF18" s="114">
        <f>VLOOKUP(B18,'2015 SQL Output'!$A$3:$T$24,17,FALSE)</f>
        <v>5567</v>
      </c>
      <c r="BG18" s="114">
        <f>VLOOKUP(B18,'2015 SQL Output'!$A$3:$T$24,18,FALSE)</f>
        <v>4089</v>
      </c>
      <c r="BH18" s="114">
        <f>VLOOKUP(B18,'2015 SQL Output'!$A$3:$T$24,19,FALSE)</f>
        <v>2410</v>
      </c>
      <c r="BI18" s="114">
        <f>VLOOKUP(B18,'2015 SQL Output'!$A$3:$T$24,20,FALSE)</f>
        <v>1450</v>
      </c>
      <c r="BJ18" s="24" t="s">
        <v>42</v>
      </c>
    </row>
    <row r="19" spans="1:62" s="8" customFormat="1">
      <c r="A19" s="24" t="s">
        <v>44</v>
      </c>
      <c r="B19" s="25" t="s">
        <v>45</v>
      </c>
      <c r="C19" s="114">
        <f>VLOOKUP(B19,'2015 SQL Output'!$A$29:$T$50,2,FALSE)</f>
        <v>5081</v>
      </c>
      <c r="D19" s="114">
        <f>VLOOKUP(B19,'2015 SQL Output'!$A$29:$T$50,3,FALSE)</f>
        <v>5461</v>
      </c>
      <c r="E19" s="114">
        <f>VLOOKUP(B19,'2015 SQL Output'!$A$29:$T$50,4,FALSE)</f>
        <v>5204</v>
      </c>
      <c r="F19" s="114">
        <f>VLOOKUP(B19,'2015 SQL Output'!$A$29:$T$50,5,FALSE)</f>
        <v>5573</v>
      </c>
      <c r="G19" s="114">
        <f>VLOOKUP(B19,'2015 SQL Output'!$A$29:$T$50,6,FALSE)</f>
        <v>5084</v>
      </c>
      <c r="H19" s="114">
        <f>VLOOKUP(B19,'2015 SQL Output'!$A$29:$T$50,7,FALSE)</f>
        <v>5265</v>
      </c>
      <c r="I19" s="114">
        <f>VLOOKUP(B19,'2015 SQL Output'!$A$29:$T$50,8,FALSE)</f>
        <v>4605</v>
      </c>
      <c r="J19" s="114">
        <f>VLOOKUP(B19,'2015 SQL Output'!$A$29:$T$50,9,FALSE)</f>
        <v>4486</v>
      </c>
      <c r="K19" s="114">
        <f>VLOOKUP(B19,'2015 SQL Output'!$A$29:$T$50,10,FALSE)</f>
        <v>5288</v>
      </c>
      <c r="L19" s="114">
        <f>VLOOKUP(B19,'2015 SQL Output'!$A$29:$T$50,11,FALSE)</f>
        <v>6097</v>
      </c>
      <c r="M19" s="114">
        <f>VLOOKUP(B19,'2015 SQL Output'!$A$29:$T$50,12,FALSE)</f>
        <v>6652</v>
      </c>
      <c r="N19" s="114">
        <f>VLOOKUP(B19,'2015 SQL Output'!$A$29:$T$50,13,FALSE)</f>
        <v>6002</v>
      </c>
      <c r="O19" s="114">
        <f>VLOOKUP(B19,'2015 SQL Output'!$A$29:$T$50,14,FALSE)</f>
        <v>6110</v>
      </c>
      <c r="P19" s="114">
        <f>VLOOKUP(B19,'2015 SQL Output'!$A$29:$T$50,15,FALSE)</f>
        <v>6506</v>
      </c>
      <c r="Q19" s="114">
        <f>VLOOKUP(B19,'2015 SQL Output'!$A$29:$T$50,16,FALSE)</f>
        <v>5083</v>
      </c>
      <c r="R19" s="114">
        <f>VLOOKUP(B19,'2015 SQL Output'!$A$29:$T$50,17,FALSE)</f>
        <v>3709</v>
      </c>
      <c r="S19" s="114">
        <f>VLOOKUP(B19,'2015 SQL Output'!$A$29:$T$50,18,FALSE)</f>
        <v>2511</v>
      </c>
      <c r="T19" s="114">
        <f>VLOOKUP(B19,'2015 SQL Output'!$A$29:$T$50,19,FALSE)</f>
        <v>1352</v>
      </c>
      <c r="U19" s="114">
        <f>VLOOKUP(B19,'2015 SQL Output'!$A$29:$T$50,20,FALSE)</f>
        <v>552</v>
      </c>
      <c r="V19" s="114" t="s">
        <v>44</v>
      </c>
      <c r="W19" s="114">
        <f>VLOOKUP(B19,'2015 SQL Output'!$A$53:$T$75,2,FALSE)</f>
        <v>4856</v>
      </c>
      <c r="X19" s="114">
        <f>VLOOKUP(B19,'2015 SQL Output'!$A$53:$T$75,3,FALSE)</f>
        <v>5183</v>
      </c>
      <c r="Y19" s="114">
        <f>VLOOKUP(B19,'2015 SQL Output'!$A$53:$T$75,4,FALSE)</f>
        <v>4819</v>
      </c>
      <c r="Z19" s="114">
        <f>VLOOKUP(B19,'2015 SQL Output'!$A$53:$T$75,5,FALSE)</f>
        <v>5027</v>
      </c>
      <c r="AA19" s="114">
        <f>VLOOKUP(B19,'2015 SQL Output'!$A$53:$T$75,6,FALSE)</f>
        <v>5024</v>
      </c>
      <c r="AB19" s="114">
        <f>VLOOKUP(B19,'2015 SQL Output'!$A$53:$T$75,7,FALSE)</f>
        <v>5113</v>
      </c>
      <c r="AC19" s="114">
        <f>VLOOKUP(B19,'2015 SQL Output'!$A$53:$T$75,8,FALSE)</f>
        <v>4887</v>
      </c>
      <c r="AD19" s="114">
        <f>VLOOKUP(B19,'2015 SQL Output'!$A$53:$T$75,9,FALSE)</f>
        <v>4947</v>
      </c>
      <c r="AE19" s="114">
        <f>VLOOKUP(B19,'2015 SQL Output'!$A$53:$T$75,10,FALSE)</f>
        <v>5550</v>
      </c>
      <c r="AF19" s="114">
        <f>VLOOKUP(B19,'2015 SQL Output'!$A$53:$T$75,11,FALSE)</f>
        <v>6604</v>
      </c>
      <c r="AG19" s="114">
        <f>VLOOKUP(B19,'2015 SQL Output'!$A$53:$T$75,12,FALSE)</f>
        <v>7072</v>
      </c>
      <c r="AH19" s="114">
        <f>VLOOKUP(B19,'2015 SQL Output'!$A$53:$T$75,13,FALSE)</f>
        <v>6726</v>
      </c>
      <c r="AI19" s="114">
        <f>VLOOKUP(B19,'2015 SQL Output'!$A$53:$T$75,14,FALSE)</f>
        <v>6279</v>
      </c>
      <c r="AJ19" s="114">
        <f>VLOOKUP(B19,'2015 SQL Output'!$A$53:$T$75,15,FALSE)</f>
        <v>6656</v>
      </c>
      <c r="AK19" s="114">
        <f>VLOOKUP(B19,'2015 SQL Output'!$A$53:$T$75,16,FALSE)</f>
        <v>5208</v>
      </c>
      <c r="AL19" s="114">
        <f>VLOOKUP(B19,'2015 SQL Output'!$A$53:$T$75,17,FALSE)</f>
        <v>3960</v>
      </c>
      <c r="AM19" s="114">
        <f>VLOOKUP(B19,'2015 SQL Output'!$A$53:$T$75,18,FALSE)</f>
        <v>3116</v>
      </c>
      <c r="AN19" s="114">
        <f>VLOOKUP(B19,'2015 SQL Output'!$A$53:$T$75,19,FALSE)</f>
        <v>2104</v>
      </c>
      <c r="AO19" s="114">
        <f>VLOOKUP(B19,'2015 SQL Output'!$A$53:$T$75,20,FALSE)</f>
        <v>1371</v>
      </c>
      <c r="AP19" s="114" t="s">
        <v>44</v>
      </c>
      <c r="AQ19" s="114">
        <f>VLOOKUP(B19,'2015 SQL Output'!$A$3:$T$24,2,FALSE)</f>
        <v>9937</v>
      </c>
      <c r="AR19" s="114">
        <f>VLOOKUP(B19,'2015 SQL Output'!$A$3:$T$24,3,FALSE)</f>
        <v>10644</v>
      </c>
      <c r="AS19" s="114">
        <f>VLOOKUP(B19,'2015 SQL Output'!$A$3:$T$24,4,FALSE)</f>
        <v>10023</v>
      </c>
      <c r="AT19" s="114">
        <f>VLOOKUP(B19,'2015 SQL Output'!$A$3:$T$24,5,FALSE)</f>
        <v>10600</v>
      </c>
      <c r="AU19" s="114">
        <f>VLOOKUP(B19,'2015 SQL Output'!$A$3:$T$24,6,FALSE)</f>
        <v>10108</v>
      </c>
      <c r="AV19" s="114">
        <f>VLOOKUP(B19,'2015 SQL Output'!$A$3:$T$24,7,FALSE)</f>
        <v>10378</v>
      </c>
      <c r="AW19" s="114">
        <f>VLOOKUP(B19,'2015 SQL Output'!$A$3:$T$24,8,FALSE)</f>
        <v>9492</v>
      </c>
      <c r="AX19" s="114">
        <f>VLOOKUP(B19,'2015 SQL Output'!$A$3:$T$24,9,FALSE)</f>
        <v>9433</v>
      </c>
      <c r="AY19" s="114">
        <f>VLOOKUP(B19,'2015 SQL Output'!$A$3:$T$24,10,FALSE)</f>
        <v>10838</v>
      </c>
      <c r="AZ19" s="114">
        <f>VLOOKUP(B19,'2015 SQL Output'!$A$3:$T$24,11,FALSE)</f>
        <v>12701</v>
      </c>
      <c r="BA19" s="114">
        <f>VLOOKUP(B19,'2015 SQL Output'!$A$3:$T$24,12,FALSE)</f>
        <v>13724</v>
      </c>
      <c r="BB19" s="114">
        <f>VLOOKUP(B19,'2015 SQL Output'!$A$3:$T$24,13,FALSE)</f>
        <v>12728</v>
      </c>
      <c r="BC19" s="114">
        <f>VLOOKUP(B19,'2015 SQL Output'!$A$3:$T$24,14,FALSE)</f>
        <v>12389</v>
      </c>
      <c r="BD19" s="114">
        <f>VLOOKUP(B19,'2015 SQL Output'!$A$3:$T$24,15,FALSE)</f>
        <v>13162</v>
      </c>
      <c r="BE19" s="114">
        <f>VLOOKUP(B19,'2015 SQL Output'!$A$3:$T$24,16,FALSE)</f>
        <v>10291</v>
      </c>
      <c r="BF19" s="114">
        <f>VLOOKUP(B19,'2015 SQL Output'!$A$3:$T$24,17,FALSE)</f>
        <v>7669</v>
      </c>
      <c r="BG19" s="114">
        <f>VLOOKUP(B19,'2015 SQL Output'!$A$3:$T$24,18,FALSE)</f>
        <v>5627</v>
      </c>
      <c r="BH19" s="114">
        <f>VLOOKUP(B19,'2015 SQL Output'!$A$3:$T$24,19,FALSE)</f>
        <v>3456</v>
      </c>
      <c r="BI19" s="114">
        <f>VLOOKUP(B19,'2015 SQL Output'!$A$3:$T$24,20,FALSE)</f>
        <v>1923</v>
      </c>
      <c r="BJ19" s="24" t="s">
        <v>44</v>
      </c>
    </row>
    <row r="20" spans="1:62" s="8" customFormat="1">
      <c r="A20" s="12" t="s">
        <v>46</v>
      </c>
      <c r="B20" s="26" t="s">
        <v>47</v>
      </c>
      <c r="C20" s="115">
        <f>VLOOKUP(B20,'2015 SQL Output'!$A$29:$T$50,2,FALSE)</f>
        <v>6986</v>
      </c>
      <c r="D20" s="115">
        <f>VLOOKUP(B20,'2015 SQL Output'!$A$29:$T$50,3,FALSE)</f>
        <v>6819</v>
      </c>
      <c r="E20" s="115">
        <f>VLOOKUP(B20,'2015 SQL Output'!$A$29:$T$50,4,FALSE)</f>
        <v>6535</v>
      </c>
      <c r="F20" s="115">
        <f>VLOOKUP(B20,'2015 SQL Output'!$A$29:$T$50,5,FALSE)</f>
        <v>8316</v>
      </c>
      <c r="G20" s="115">
        <f>VLOOKUP(B20,'2015 SQL Output'!$A$29:$T$50,6,FALSE)</f>
        <v>11652</v>
      </c>
      <c r="H20" s="115">
        <f>VLOOKUP(B20,'2015 SQL Output'!$A$29:$T$50,7,FALSE)</f>
        <v>8597</v>
      </c>
      <c r="I20" s="115">
        <f>VLOOKUP(B20,'2015 SQL Output'!$A$29:$T$50,8,FALSE)</f>
        <v>7746</v>
      </c>
      <c r="J20" s="115">
        <f>VLOOKUP(B20,'2015 SQL Output'!$A$29:$T$50,9,FALSE)</f>
        <v>7024</v>
      </c>
      <c r="K20" s="115">
        <f>VLOOKUP(B20,'2015 SQL Output'!$A$29:$T$50,10,FALSE)</f>
        <v>7227</v>
      </c>
      <c r="L20" s="115">
        <f>VLOOKUP(B20,'2015 SQL Output'!$A$29:$T$50,11,FALSE)</f>
        <v>7902</v>
      </c>
      <c r="M20" s="115">
        <f>VLOOKUP(B20,'2015 SQL Output'!$A$29:$T$50,12,FALSE)</f>
        <v>7890</v>
      </c>
      <c r="N20" s="115">
        <f>VLOOKUP(B20,'2015 SQL Output'!$A$29:$T$50,13,FALSE)</f>
        <v>6952</v>
      </c>
      <c r="O20" s="115">
        <f>VLOOKUP(B20,'2015 SQL Output'!$A$29:$T$50,14,FALSE)</f>
        <v>6456</v>
      </c>
      <c r="P20" s="115">
        <f>VLOOKUP(B20,'2015 SQL Output'!$A$29:$T$50,15,FALSE)</f>
        <v>6721</v>
      </c>
      <c r="Q20" s="115">
        <f>VLOOKUP(B20,'2015 SQL Output'!$A$29:$T$50,16,FALSE)</f>
        <v>5097</v>
      </c>
      <c r="R20" s="115">
        <f>VLOOKUP(B20,'2015 SQL Output'!$A$29:$T$50,17,FALSE)</f>
        <v>3919</v>
      </c>
      <c r="S20" s="115">
        <f>VLOOKUP(B20,'2015 SQL Output'!$A$29:$T$50,18,FALSE)</f>
        <v>2849</v>
      </c>
      <c r="T20" s="115">
        <f>VLOOKUP(B20,'2015 SQL Output'!$A$29:$T$50,19,FALSE)</f>
        <v>1519</v>
      </c>
      <c r="U20" s="115">
        <f>VLOOKUP(B20,'2015 SQL Output'!$A$29:$T$50,20,FALSE)</f>
        <v>658</v>
      </c>
      <c r="V20" s="115" t="s">
        <v>46</v>
      </c>
      <c r="W20" s="115">
        <f>VLOOKUP(B20,'2015 SQL Output'!$A$53:$T$75,2,FALSE)</f>
        <v>6261</v>
      </c>
      <c r="X20" s="115">
        <f>VLOOKUP(B20,'2015 SQL Output'!$A$53:$T$75,3,FALSE)</f>
        <v>6326</v>
      </c>
      <c r="Y20" s="115">
        <f>VLOOKUP(B20,'2015 SQL Output'!$A$53:$T$75,4,FALSE)</f>
        <v>6093</v>
      </c>
      <c r="Z20" s="115">
        <f>VLOOKUP(B20,'2015 SQL Output'!$A$53:$T$75,5,FALSE)</f>
        <v>7274</v>
      </c>
      <c r="AA20" s="115">
        <f>VLOOKUP(B20,'2015 SQL Output'!$A$53:$T$75,6,FALSE)</f>
        <v>9432</v>
      </c>
      <c r="AB20" s="115">
        <f>VLOOKUP(B20,'2015 SQL Output'!$A$53:$T$75,7,FALSE)</f>
        <v>7874</v>
      </c>
      <c r="AC20" s="115">
        <f>VLOOKUP(B20,'2015 SQL Output'!$A$53:$T$75,8,FALSE)</f>
        <v>7177</v>
      </c>
      <c r="AD20" s="115">
        <f>VLOOKUP(B20,'2015 SQL Output'!$A$53:$T$75,9,FALSE)</f>
        <v>6629</v>
      </c>
      <c r="AE20" s="115">
        <f>VLOOKUP(B20,'2015 SQL Output'!$A$53:$T$75,10,FALSE)</f>
        <v>7653</v>
      </c>
      <c r="AF20" s="115">
        <f>VLOOKUP(B20,'2015 SQL Output'!$A$53:$T$75,11,FALSE)</f>
        <v>7911</v>
      </c>
      <c r="AG20" s="115">
        <f>VLOOKUP(B20,'2015 SQL Output'!$A$53:$T$75,12,FALSE)</f>
        <v>8121</v>
      </c>
      <c r="AH20" s="115">
        <f>VLOOKUP(B20,'2015 SQL Output'!$A$53:$T$75,13,FALSE)</f>
        <v>7674</v>
      </c>
      <c r="AI20" s="115">
        <f>VLOOKUP(B20,'2015 SQL Output'!$A$53:$T$75,14,FALSE)</f>
        <v>7043</v>
      </c>
      <c r="AJ20" s="115">
        <f>VLOOKUP(B20,'2015 SQL Output'!$A$53:$T$75,15,FALSE)</f>
        <v>7481</v>
      </c>
      <c r="AK20" s="115">
        <f>VLOOKUP(B20,'2015 SQL Output'!$A$53:$T$75,16,FALSE)</f>
        <v>5841</v>
      </c>
      <c r="AL20" s="115">
        <f>VLOOKUP(B20,'2015 SQL Output'!$A$53:$T$75,17,FALSE)</f>
        <v>4842</v>
      </c>
      <c r="AM20" s="115">
        <f>VLOOKUP(B20,'2015 SQL Output'!$A$53:$T$75,18,FALSE)</f>
        <v>3789</v>
      </c>
      <c r="AN20" s="115">
        <f>VLOOKUP(B20,'2015 SQL Output'!$A$53:$T$75,19,FALSE)</f>
        <v>2490</v>
      </c>
      <c r="AO20" s="115">
        <f>VLOOKUP(B20,'2015 SQL Output'!$A$53:$T$75,20,FALSE)</f>
        <v>1606</v>
      </c>
      <c r="AP20" s="115" t="s">
        <v>46</v>
      </c>
      <c r="AQ20" s="115">
        <f>VLOOKUP(B20,'2015 SQL Output'!$A$3:$T$24,2,FALSE)</f>
        <v>13247</v>
      </c>
      <c r="AR20" s="115">
        <f>VLOOKUP(B20,'2015 SQL Output'!$A$3:$T$24,3,FALSE)</f>
        <v>13145</v>
      </c>
      <c r="AS20" s="115">
        <f>VLOOKUP(B20,'2015 SQL Output'!$A$3:$T$24,4,FALSE)</f>
        <v>12628</v>
      </c>
      <c r="AT20" s="115">
        <f>VLOOKUP(B20,'2015 SQL Output'!$A$3:$T$24,5,FALSE)</f>
        <v>15590</v>
      </c>
      <c r="AU20" s="115">
        <f>VLOOKUP(B20,'2015 SQL Output'!$A$3:$T$24,6,FALSE)</f>
        <v>21084</v>
      </c>
      <c r="AV20" s="115">
        <f>VLOOKUP(B20,'2015 SQL Output'!$A$3:$T$24,7,FALSE)</f>
        <v>16471</v>
      </c>
      <c r="AW20" s="115">
        <f>VLOOKUP(B20,'2015 SQL Output'!$A$3:$T$24,8,FALSE)</f>
        <v>14923</v>
      </c>
      <c r="AX20" s="115">
        <f>VLOOKUP(B20,'2015 SQL Output'!$A$3:$T$24,9,FALSE)</f>
        <v>13653</v>
      </c>
      <c r="AY20" s="115">
        <f>VLOOKUP(B20,'2015 SQL Output'!$A$3:$T$24,10,FALSE)</f>
        <v>14880</v>
      </c>
      <c r="AZ20" s="115">
        <f>VLOOKUP(B20,'2015 SQL Output'!$A$3:$T$24,11,FALSE)</f>
        <v>15813</v>
      </c>
      <c r="BA20" s="115">
        <f>VLOOKUP(B20,'2015 SQL Output'!$A$3:$T$24,12,FALSE)</f>
        <v>16011</v>
      </c>
      <c r="BB20" s="115">
        <f>VLOOKUP(B20,'2015 SQL Output'!$A$3:$T$24,13,FALSE)</f>
        <v>14626</v>
      </c>
      <c r="BC20" s="115">
        <f>VLOOKUP(B20,'2015 SQL Output'!$A$3:$T$24,14,FALSE)</f>
        <v>13499</v>
      </c>
      <c r="BD20" s="115">
        <f>VLOOKUP(B20,'2015 SQL Output'!$A$3:$T$24,15,FALSE)</f>
        <v>14202</v>
      </c>
      <c r="BE20" s="115">
        <f>VLOOKUP(B20,'2015 SQL Output'!$A$3:$T$24,16,FALSE)</f>
        <v>10938</v>
      </c>
      <c r="BF20" s="115">
        <f>VLOOKUP(B20,'2015 SQL Output'!$A$3:$T$24,17,FALSE)</f>
        <v>8761</v>
      </c>
      <c r="BG20" s="115">
        <f>VLOOKUP(B20,'2015 SQL Output'!$A$3:$T$24,18,FALSE)</f>
        <v>6638</v>
      </c>
      <c r="BH20" s="115">
        <f>VLOOKUP(B20,'2015 SQL Output'!$A$3:$T$24,19,FALSE)</f>
        <v>4009</v>
      </c>
      <c r="BI20" s="115">
        <f>VLOOKUP(B20,'2015 SQL Output'!$A$3:$T$24,20,FALSE)</f>
        <v>2264</v>
      </c>
      <c r="BJ20" s="12" t="s">
        <v>46</v>
      </c>
    </row>
    <row r="21" spans="1:62" s="8" customFormat="1">
      <c r="A21" s="12" t="s">
        <v>48</v>
      </c>
      <c r="B21" s="26" t="s">
        <v>49</v>
      </c>
      <c r="C21" s="115">
        <f>VLOOKUP(B21,'2015 SQL Output'!$A$29:$T$50,2,FALSE)</f>
        <v>3993</v>
      </c>
      <c r="D21" s="115">
        <f>VLOOKUP(B21,'2015 SQL Output'!$A$29:$T$50,3,FALSE)</f>
        <v>3992</v>
      </c>
      <c r="E21" s="115">
        <f>VLOOKUP(B21,'2015 SQL Output'!$A$29:$T$50,4,FALSE)</f>
        <v>3787</v>
      </c>
      <c r="F21" s="115">
        <f>VLOOKUP(B21,'2015 SQL Output'!$A$29:$T$50,5,FALSE)</f>
        <v>4139</v>
      </c>
      <c r="G21" s="115">
        <f>VLOOKUP(B21,'2015 SQL Output'!$A$29:$T$50,6,FALSE)</f>
        <v>4070</v>
      </c>
      <c r="H21" s="115">
        <f>VLOOKUP(B21,'2015 SQL Output'!$A$29:$T$50,7,FALSE)</f>
        <v>4269</v>
      </c>
      <c r="I21" s="115">
        <f>VLOOKUP(B21,'2015 SQL Output'!$A$29:$T$50,8,FALSE)</f>
        <v>4486</v>
      </c>
      <c r="J21" s="115">
        <f>VLOOKUP(B21,'2015 SQL Output'!$A$29:$T$50,9,FALSE)</f>
        <v>4242</v>
      </c>
      <c r="K21" s="115">
        <f>VLOOKUP(B21,'2015 SQL Output'!$A$29:$T$50,10,FALSE)</f>
        <v>4354</v>
      </c>
      <c r="L21" s="115">
        <f>VLOOKUP(B21,'2015 SQL Output'!$A$29:$T$50,11,FALSE)</f>
        <v>4820</v>
      </c>
      <c r="M21" s="115">
        <f>VLOOKUP(B21,'2015 SQL Output'!$A$29:$T$50,12,FALSE)</f>
        <v>5037</v>
      </c>
      <c r="N21" s="115">
        <f>VLOOKUP(B21,'2015 SQL Output'!$A$29:$T$50,13,FALSE)</f>
        <v>4760</v>
      </c>
      <c r="O21" s="115">
        <f>VLOOKUP(B21,'2015 SQL Output'!$A$29:$T$50,14,FALSE)</f>
        <v>4397</v>
      </c>
      <c r="P21" s="115">
        <f>VLOOKUP(B21,'2015 SQL Output'!$A$29:$T$50,15,FALSE)</f>
        <v>4374</v>
      </c>
      <c r="Q21" s="115">
        <f>VLOOKUP(B21,'2015 SQL Output'!$A$29:$T$50,16,FALSE)</f>
        <v>3286</v>
      </c>
      <c r="R21" s="115">
        <f>VLOOKUP(B21,'2015 SQL Output'!$A$29:$T$50,17,FALSE)</f>
        <v>2418</v>
      </c>
      <c r="S21" s="115">
        <f>VLOOKUP(B21,'2015 SQL Output'!$A$29:$T$50,18,FALSE)</f>
        <v>1606</v>
      </c>
      <c r="T21" s="115">
        <f>VLOOKUP(B21,'2015 SQL Output'!$A$29:$T$50,19,FALSE)</f>
        <v>859</v>
      </c>
      <c r="U21" s="115">
        <f>VLOOKUP(B21,'2015 SQL Output'!$A$29:$T$50,20,FALSE)</f>
        <v>330</v>
      </c>
      <c r="V21" s="115" t="s">
        <v>48</v>
      </c>
      <c r="W21" s="115">
        <f>VLOOKUP(B21,'2015 SQL Output'!$A$53:$T$75,2,FALSE)</f>
        <v>3733</v>
      </c>
      <c r="X21" s="115">
        <f>VLOOKUP(B21,'2015 SQL Output'!$A$53:$T$75,3,FALSE)</f>
        <v>3864</v>
      </c>
      <c r="Y21" s="115">
        <f>VLOOKUP(B21,'2015 SQL Output'!$A$53:$T$75,4,FALSE)</f>
        <v>3686</v>
      </c>
      <c r="Z21" s="115">
        <f>VLOOKUP(B21,'2015 SQL Output'!$A$53:$T$75,5,FALSE)</f>
        <v>3893</v>
      </c>
      <c r="AA21" s="115">
        <f>VLOOKUP(B21,'2015 SQL Output'!$A$53:$T$75,6,FALSE)</f>
        <v>3835</v>
      </c>
      <c r="AB21" s="115">
        <f>VLOOKUP(B21,'2015 SQL Output'!$A$53:$T$75,7,FALSE)</f>
        <v>4270</v>
      </c>
      <c r="AC21" s="115">
        <f>VLOOKUP(B21,'2015 SQL Output'!$A$53:$T$75,8,FALSE)</f>
        <v>4396</v>
      </c>
      <c r="AD21" s="115">
        <f>VLOOKUP(B21,'2015 SQL Output'!$A$53:$T$75,9,FALSE)</f>
        <v>4116</v>
      </c>
      <c r="AE21" s="115">
        <f>VLOOKUP(B21,'2015 SQL Output'!$A$53:$T$75,10,FALSE)</f>
        <v>4555</v>
      </c>
      <c r="AF21" s="115">
        <f>VLOOKUP(B21,'2015 SQL Output'!$A$53:$T$75,11,FALSE)</f>
        <v>5005</v>
      </c>
      <c r="AG21" s="115">
        <f>VLOOKUP(B21,'2015 SQL Output'!$A$53:$T$75,12,FALSE)</f>
        <v>5352</v>
      </c>
      <c r="AH21" s="115">
        <f>VLOOKUP(B21,'2015 SQL Output'!$A$53:$T$75,13,FALSE)</f>
        <v>4929</v>
      </c>
      <c r="AI21" s="115">
        <f>VLOOKUP(B21,'2015 SQL Output'!$A$53:$T$75,14,FALSE)</f>
        <v>4566</v>
      </c>
      <c r="AJ21" s="115">
        <f>VLOOKUP(B21,'2015 SQL Output'!$A$53:$T$75,15,FALSE)</f>
        <v>4616</v>
      </c>
      <c r="AK21" s="115">
        <f>VLOOKUP(B21,'2015 SQL Output'!$A$53:$T$75,16,FALSE)</f>
        <v>3531</v>
      </c>
      <c r="AL21" s="115">
        <f>VLOOKUP(B21,'2015 SQL Output'!$A$53:$T$75,17,FALSE)</f>
        <v>2884</v>
      </c>
      <c r="AM21" s="115">
        <f>VLOOKUP(B21,'2015 SQL Output'!$A$53:$T$75,18,FALSE)</f>
        <v>2150</v>
      </c>
      <c r="AN21" s="115">
        <f>VLOOKUP(B21,'2015 SQL Output'!$A$53:$T$75,19,FALSE)</f>
        <v>1445</v>
      </c>
      <c r="AO21" s="115">
        <f>VLOOKUP(B21,'2015 SQL Output'!$A$53:$T$75,20,FALSE)</f>
        <v>947</v>
      </c>
      <c r="AP21" s="115" t="s">
        <v>48</v>
      </c>
      <c r="AQ21" s="115">
        <f>VLOOKUP(B21,'2015 SQL Output'!$A$3:$T$24,2,FALSE)</f>
        <v>7726</v>
      </c>
      <c r="AR21" s="115">
        <f>VLOOKUP(B21,'2015 SQL Output'!$A$3:$T$24,3,FALSE)</f>
        <v>7856</v>
      </c>
      <c r="AS21" s="115">
        <f>VLOOKUP(B21,'2015 SQL Output'!$A$3:$T$24,4,FALSE)</f>
        <v>7473</v>
      </c>
      <c r="AT21" s="115">
        <f>VLOOKUP(B21,'2015 SQL Output'!$A$3:$T$24,5,FALSE)</f>
        <v>8032</v>
      </c>
      <c r="AU21" s="115">
        <f>VLOOKUP(B21,'2015 SQL Output'!$A$3:$T$24,6,FALSE)</f>
        <v>7905</v>
      </c>
      <c r="AV21" s="115">
        <f>VLOOKUP(B21,'2015 SQL Output'!$A$3:$T$24,7,FALSE)</f>
        <v>8539</v>
      </c>
      <c r="AW21" s="115">
        <f>VLOOKUP(B21,'2015 SQL Output'!$A$3:$T$24,8,FALSE)</f>
        <v>8882</v>
      </c>
      <c r="AX21" s="115">
        <f>VLOOKUP(B21,'2015 SQL Output'!$A$3:$T$24,9,FALSE)</f>
        <v>8358</v>
      </c>
      <c r="AY21" s="115">
        <f>VLOOKUP(B21,'2015 SQL Output'!$A$3:$T$24,10,FALSE)</f>
        <v>8909</v>
      </c>
      <c r="AZ21" s="115">
        <f>VLOOKUP(B21,'2015 SQL Output'!$A$3:$T$24,11,FALSE)</f>
        <v>9825</v>
      </c>
      <c r="BA21" s="115">
        <f>VLOOKUP(B21,'2015 SQL Output'!$A$3:$T$24,12,FALSE)</f>
        <v>10389</v>
      </c>
      <c r="BB21" s="115">
        <f>VLOOKUP(B21,'2015 SQL Output'!$A$3:$T$24,13,FALSE)</f>
        <v>9689</v>
      </c>
      <c r="BC21" s="115">
        <f>VLOOKUP(B21,'2015 SQL Output'!$A$3:$T$24,14,FALSE)</f>
        <v>8963</v>
      </c>
      <c r="BD21" s="115">
        <f>VLOOKUP(B21,'2015 SQL Output'!$A$3:$T$24,15,FALSE)</f>
        <v>8990</v>
      </c>
      <c r="BE21" s="115">
        <f>VLOOKUP(B21,'2015 SQL Output'!$A$3:$T$24,16,FALSE)</f>
        <v>6817</v>
      </c>
      <c r="BF21" s="115">
        <f>VLOOKUP(B21,'2015 SQL Output'!$A$3:$T$24,17,FALSE)</f>
        <v>5302</v>
      </c>
      <c r="BG21" s="115">
        <f>VLOOKUP(B21,'2015 SQL Output'!$A$3:$T$24,18,FALSE)</f>
        <v>3756</v>
      </c>
      <c r="BH21" s="115">
        <f>VLOOKUP(B21,'2015 SQL Output'!$A$3:$T$24,19,FALSE)</f>
        <v>2304</v>
      </c>
      <c r="BI21" s="115">
        <f>VLOOKUP(B21,'2015 SQL Output'!$A$3:$T$24,20,FALSE)</f>
        <v>1277</v>
      </c>
      <c r="BJ21" s="12" t="s">
        <v>48</v>
      </c>
    </row>
    <row r="22" spans="1:62" s="8" customFormat="1">
      <c r="A22" s="12" t="s">
        <v>50</v>
      </c>
      <c r="B22" s="26" t="s">
        <v>51</v>
      </c>
      <c r="C22" s="115">
        <f>VLOOKUP(B22,'2015 SQL Output'!$A$29:$T$50,2,FALSE)</f>
        <v>4251</v>
      </c>
      <c r="D22" s="115">
        <f>VLOOKUP(B22,'2015 SQL Output'!$A$29:$T$50,3,FALSE)</f>
        <v>4193</v>
      </c>
      <c r="E22" s="115">
        <f>VLOOKUP(B22,'2015 SQL Output'!$A$29:$T$50,4,FALSE)</f>
        <v>3932</v>
      </c>
      <c r="F22" s="115">
        <f>VLOOKUP(B22,'2015 SQL Output'!$A$29:$T$50,5,FALSE)</f>
        <v>4357</v>
      </c>
      <c r="G22" s="115">
        <f>VLOOKUP(B22,'2015 SQL Output'!$A$29:$T$50,6,FALSE)</f>
        <v>4210</v>
      </c>
      <c r="H22" s="115">
        <f>VLOOKUP(B22,'2015 SQL Output'!$A$29:$T$50,7,FALSE)</f>
        <v>4363</v>
      </c>
      <c r="I22" s="115">
        <f>VLOOKUP(B22,'2015 SQL Output'!$A$29:$T$50,8,FALSE)</f>
        <v>4522</v>
      </c>
      <c r="J22" s="115">
        <f>VLOOKUP(B22,'2015 SQL Output'!$A$29:$T$50,9,FALSE)</f>
        <v>4312</v>
      </c>
      <c r="K22" s="115">
        <f>VLOOKUP(B22,'2015 SQL Output'!$A$29:$T$50,10,FALSE)</f>
        <v>4722</v>
      </c>
      <c r="L22" s="115">
        <f>VLOOKUP(B22,'2015 SQL Output'!$A$29:$T$50,11,FALSE)</f>
        <v>5171</v>
      </c>
      <c r="M22" s="115">
        <f>VLOOKUP(B22,'2015 SQL Output'!$A$29:$T$50,12,FALSE)</f>
        <v>5156</v>
      </c>
      <c r="N22" s="115">
        <f>VLOOKUP(B22,'2015 SQL Output'!$A$29:$T$50,13,FALSE)</f>
        <v>4470</v>
      </c>
      <c r="O22" s="115">
        <f>VLOOKUP(B22,'2015 SQL Output'!$A$29:$T$50,14,FALSE)</f>
        <v>4101</v>
      </c>
      <c r="P22" s="115">
        <f>VLOOKUP(B22,'2015 SQL Output'!$A$29:$T$50,15,FALSE)</f>
        <v>4219</v>
      </c>
      <c r="Q22" s="115">
        <f>VLOOKUP(B22,'2015 SQL Output'!$A$29:$T$50,16,FALSE)</f>
        <v>3287</v>
      </c>
      <c r="R22" s="115">
        <f>VLOOKUP(B22,'2015 SQL Output'!$A$29:$T$50,17,FALSE)</f>
        <v>2332</v>
      </c>
      <c r="S22" s="115">
        <f>VLOOKUP(B22,'2015 SQL Output'!$A$29:$T$50,18,FALSE)</f>
        <v>1600</v>
      </c>
      <c r="T22" s="115">
        <f>VLOOKUP(B22,'2015 SQL Output'!$A$29:$T$50,19,FALSE)</f>
        <v>809</v>
      </c>
      <c r="U22" s="115">
        <f>VLOOKUP(B22,'2015 SQL Output'!$A$29:$T$50,20,FALSE)</f>
        <v>309</v>
      </c>
      <c r="V22" s="115" t="s">
        <v>50</v>
      </c>
      <c r="W22" s="115">
        <f>VLOOKUP(B22,'2015 SQL Output'!$A$53:$T$75,2,FALSE)</f>
        <v>3943</v>
      </c>
      <c r="X22" s="115">
        <f>VLOOKUP(B22,'2015 SQL Output'!$A$53:$T$75,3,FALSE)</f>
        <v>3793</v>
      </c>
      <c r="Y22" s="115">
        <f>VLOOKUP(B22,'2015 SQL Output'!$A$53:$T$75,4,FALSE)</f>
        <v>3878</v>
      </c>
      <c r="Z22" s="115">
        <f>VLOOKUP(B22,'2015 SQL Output'!$A$53:$T$75,5,FALSE)</f>
        <v>3802</v>
      </c>
      <c r="AA22" s="115">
        <f>VLOOKUP(B22,'2015 SQL Output'!$A$53:$T$75,6,FALSE)</f>
        <v>3695</v>
      </c>
      <c r="AB22" s="115">
        <f>VLOOKUP(B22,'2015 SQL Output'!$A$53:$T$75,7,FALSE)</f>
        <v>4380</v>
      </c>
      <c r="AC22" s="115">
        <f>VLOOKUP(B22,'2015 SQL Output'!$A$53:$T$75,8,FALSE)</f>
        <v>4233</v>
      </c>
      <c r="AD22" s="115">
        <f>VLOOKUP(B22,'2015 SQL Output'!$A$53:$T$75,9,FALSE)</f>
        <v>4149</v>
      </c>
      <c r="AE22" s="115">
        <f>VLOOKUP(B22,'2015 SQL Output'!$A$53:$T$75,10,FALSE)</f>
        <v>4847</v>
      </c>
      <c r="AF22" s="115">
        <f>VLOOKUP(B22,'2015 SQL Output'!$A$53:$T$75,11,FALSE)</f>
        <v>5339</v>
      </c>
      <c r="AG22" s="115">
        <f>VLOOKUP(B22,'2015 SQL Output'!$A$53:$T$75,12,FALSE)</f>
        <v>5399</v>
      </c>
      <c r="AH22" s="115">
        <f>VLOOKUP(B22,'2015 SQL Output'!$A$53:$T$75,13,FALSE)</f>
        <v>4663</v>
      </c>
      <c r="AI22" s="115">
        <f>VLOOKUP(B22,'2015 SQL Output'!$A$53:$T$75,14,FALSE)</f>
        <v>4352</v>
      </c>
      <c r="AJ22" s="115">
        <f>VLOOKUP(B22,'2015 SQL Output'!$A$53:$T$75,15,FALSE)</f>
        <v>4532</v>
      </c>
      <c r="AK22" s="115">
        <f>VLOOKUP(B22,'2015 SQL Output'!$A$53:$T$75,16,FALSE)</f>
        <v>3642</v>
      </c>
      <c r="AL22" s="115">
        <f>VLOOKUP(B22,'2015 SQL Output'!$A$53:$T$75,17,FALSE)</f>
        <v>2976</v>
      </c>
      <c r="AM22" s="115">
        <f>VLOOKUP(B22,'2015 SQL Output'!$A$53:$T$75,18,FALSE)</f>
        <v>2111</v>
      </c>
      <c r="AN22" s="115">
        <f>VLOOKUP(B22,'2015 SQL Output'!$A$53:$T$75,19,FALSE)</f>
        <v>1286</v>
      </c>
      <c r="AO22" s="115">
        <f>VLOOKUP(B22,'2015 SQL Output'!$A$53:$T$75,20,FALSE)</f>
        <v>756</v>
      </c>
      <c r="AP22" s="115" t="s">
        <v>50</v>
      </c>
      <c r="AQ22" s="115">
        <f>VLOOKUP(B22,'2015 SQL Output'!$A$3:$T$24,2,FALSE)</f>
        <v>8194</v>
      </c>
      <c r="AR22" s="115">
        <f>VLOOKUP(B22,'2015 SQL Output'!$A$3:$T$24,3,FALSE)</f>
        <v>7986</v>
      </c>
      <c r="AS22" s="115">
        <f>VLOOKUP(B22,'2015 SQL Output'!$A$3:$T$24,4,FALSE)</f>
        <v>7810</v>
      </c>
      <c r="AT22" s="115">
        <f>VLOOKUP(B22,'2015 SQL Output'!$A$3:$T$24,5,FALSE)</f>
        <v>8159</v>
      </c>
      <c r="AU22" s="115">
        <f>VLOOKUP(B22,'2015 SQL Output'!$A$3:$T$24,6,FALSE)</f>
        <v>7905</v>
      </c>
      <c r="AV22" s="115">
        <f>VLOOKUP(B22,'2015 SQL Output'!$A$3:$T$24,7,FALSE)</f>
        <v>8743</v>
      </c>
      <c r="AW22" s="115">
        <f>VLOOKUP(B22,'2015 SQL Output'!$A$3:$T$24,8,FALSE)</f>
        <v>8755</v>
      </c>
      <c r="AX22" s="115">
        <f>VLOOKUP(B22,'2015 SQL Output'!$A$3:$T$24,9,FALSE)</f>
        <v>8461</v>
      </c>
      <c r="AY22" s="115">
        <f>VLOOKUP(B22,'2015 SQL Output'!$A$3:$T$24,10,FALSE)</f>
        <v>9569</v>
      </c>
      <c r="AZ22" s="115">
        <f>VLOOKUP(B22,'2015 SQL Output'!$A$3:$T$24,11,FALSE)</f>
        <v>10510</v>
      </c>
      <c r="BA22" s="115">
        <f>VLOOKUP(B22,'2015 SQL Output'!$A$3:$T$24,12,FALSE)</f>
        <v>10555</v>
      </c>
      <c r="BB22" s="115">
        <f>VLOOKUP(B22,'2015 SQL Output'!$A$3:$T$24,13,FALSE)</f>
        <v>9133</v>
      </c>
      <c r="BC22" s="115">
        <f>VLOOKUP(B22,'2015 SQL Output'!$A$3:$T$24,14,FALSE)</f>
        <v>8453</v>
      </c>
      <c r="BD22" s="115">
        <f>VLOOKUP(B22,'2015 SQL Output'!$A$3:$T$24,15,FALSE)</f>
        <v>8751</v>
      </c>
      <c r="BE22" s="115">
        <f>VLOOKUP(B22,'2015 SQL Output'!$A$3:$T$24,16,FALSE)</f>
        <v>6929</v>
      </c>
      <c r="BF22" s="115">
        <f>VLOOKUP(B22,'2015 SQL Output'!$A$3:$T$24,17,FALSE)</f>
        <v>5308</v>
      </c>
      <c r="BG22" s="115">
        <f>VLOOKUP(B22,'2015 SQL Output'!$A$3:$T$24,18,FALSE)</f>
        <v>3711</v>
      </c>
      <c r="BH22" s="115">
        <f>VLOOKUP(B22,'2015 SQL Output'!$A$3:$T$24,19,FALSE)</f>
        <v>2095</v>
      </c>
      <c r="BI22" s="115">
        <f>VLOOKUP(B22,'2015 SQL Output'!$A$3:$T$24,20,FALSE)</f>
        <v>1065</v>
      </c>
      <c r="BJ22" s="12" t="s">
        <v>50</v>
      </c>
    </row>
    <row r="23" spans="1:62" s="8" customFormat="1">
      <c r="A23" s="27" t="s">
        <v>52</v>
      </c>
      <c r="B23" s="28" t="s">
        <v>53</v>
      </c>
      <c r="C23" s="116">
        <f>VLOOKUP(B23,'2015 SQL Output'!$A$29:$T$50,2,FALSE)</f>
        <v>3609</v>
      </c>
      <c r="D23" s="116">
        <f>VLOOKUP(B23,'2015 SQL Output'!$A$29:$T$50,3,FALSE)</f>
        <v>4016</v>
      </c>
      <c r="E23" s="116">
        <f>VLOOKUP(B23,'2015 SQL Output'!$A$29:$T$50,4,FALSE)</f>
        <v>3634</v>
      </c>
      <c r="F23" s="116">
        <f>VLOOKUP(B23,'2015 SQL Output'!$A$29:$T$50,5,FALSE)</f>
        <v>3933</v>
      </c>
      <c r="G23" s="116">
        <f>VLOOKUP(B23,'2015 SQL Output'!$A$29:$T$50,6,FALSE)</f>
        <v>3532</v>
      </c>
      <c r="H23" s="116">
        <f>VLOOKUP(B23,'2015 SQL Output'!$A$29:$T$50,7,FALSE)</f>
        <v>3656</v>
      </c>
      <c r="I23" s="116">
        <f>VLOOKUP(B23,'2015 SQL Output'!$A$29:$T$50,8,FALSE)</f>
        <v>3562</v>
      </c>
      <c r="J23" s="116">
        <f>VLOOKUP(B23,'2015 SQL Output'!$A$29:$T$50,9,FALSE)</f>
        <v>3784</v>
      </c>
      <c r="K23" s="116">
        <f>VLOOKUP(B23,'2015 SQL Output'!$A$29:$T$50,10,FALSE)</f>
        <v>4020</v>
      </c>
      <c r="L23" s="116">
        <f>VLOOKUP(B23,'2015 SQL Output'!$A$29:$T$50,11,FALSE)</f>
        <v>4290</v>
      </c>
      <c r="M23" s="116">
        <f>VLOOKUP(B23,'2015 SQL Output'!$A$29:$T$50,12,FALSE)</f>
        <v>4524</v>
      </c>
      <c r="N23" s="116">
        <f>VLOOKUP(B23,'2015 SQL Output'!$A$29:$T$50,13,FALSE)</f>
        <v>4089</v>
      </c>
      <c r="O23" s="116">
        <f>VLOOKUP(B23,'2015 SQL Output'!$A$29:$T$50,14,FALSE)</f>
        <v>3818</v>
      </c>
      <c r="P23" s="116">
        <f>VLOOKUP(B23,'2015 SQL Output'!$A$29:$T$50,15,FALSE)</f>
        <v>3828</v>
      </c>
      <c r="Q23" s="116">
        <f>VLOOKUP(B23,'2015 SQL Output'!$A$29:$T$50,16,FALSE)</f>
        <v>2962</v>
      </c>
      <c r="R23" s="116">
        <f>VLOOKUP(B23,'2015 SQL Output'!$A$29:$T$50,17,FALSE)</f>
        <v>2153</v>
      </c>
      <c r="S23" s="116">
        <f>VLOOKUP(B23,'2015 SQL Output'!$A$29:$T$50,18,FALSE)</f>
        <v>1490</v>
      </c>
      <c r="T23" s="116">
        <f>VLOOKUP(B23,'2015 SQL Output'!$A$29:$T$50,19,FALSE)</f>
        <v>766</v>
      </c>
      <c r="U23" s="116">
        <f>VLOOKUP(B23,'2015 SQL Output'!$A$29:$T$50,20,FALSE)</f>
        <v>331</v>
      </c>
      <c r="V23" s="116" t="s">
        <v>52</v>
      </c>
      <c r="W23" s="116">
        <f>VLOOKUP(B23,'2015 SQL Output'!$A$53:$T$75,2,FALSE)</f>
        <v>3503</v>
      </c>
      <c r="X23" s="116">
        <f>VLOOKUP(B23,'2015 SQL Output'!$A$53:$T$75,3,FALSE)</f>
        <v>3760</v>
      </c>
      <c r="Y23" s="116">
        <f>VLOOKUP(B23,'2015 SQL Output'!$A$53:$T$75,4,FALSE)</f>
        <v>3520</v>
      </c>
      <c r="Z23" s="116">
        <f>VLOOKUP(B23,'2015 SQL Output'!$A$53:$T$75,5,FALSE)</f>
        <v>3721</v>
      </c>
      <c r="AA23" s="116">
        <f>VLOOKUP(B23,'2015 SQL Output'!$A$53:$T$75,6,FALSE)</f>
        <v>3278</v>
      </c>
      <c r="AB23" s="116">
        <f>VLOOKUP(B23,'2015 SQL Output'!$A$53:$T$75,7,FALSE)</f>
        <v>3328</v>
      </c>
      <c r="AC23" s="116">
        <f>VLOOKUP(B23,'2015 SQL Output'!$A$53:$T$75,8,FALSE)</f>
        <v>3494</v>
      </c>
      <c r="AD23" s="116">
        <f>VLOOKUP(B23,'2015 SQL Output'!$A$53:$T$75,9,FALSE)</f>
        <v>3838</v>
      </c>
      <c r="AE23" s="116">
        <f>VLOOKUP(B23,'2015 SQL Output'!$A$53:$T$75,10,FALSE)</f>
        <v>4388</v>
      </c>
      <c r="AF23" s="116">
        <f>VLOOKUP(B23,'2015 SQL Output'!$A$53:$T$75,11,FALSE)</f>
        <v>4746</v>
      </c>
      <c r="AG23" s="116">
        <f>VLOOKUP(B23,'2015 SQL Output'!$A$53:$T$75,12,FALSE)</f>
        <v>4898</v>
      </c>
      <c r="AH23" s="116">
        <f>VLOOKUP(B23,'2015 SQL Output'!$A$53:$T$75,13,FALSE)</f>
        <v>4487</v>
      </c>
      <c r="AI23" s="116">
        <f>VLOOKUP(B23,'2015 SQL Output'!$A$53:$T$75,14,FALSE)</f>
        <v>4191</v>
      </c>
      <c r="AJ23" s="116">
        <f>VLOOKUP(B23,'2015 SQL Output'!$A$53:$T$75,15,FALSE)</f>
        <v>4239</v>
      </c>
      <c r="AK23" s="116">
        <f>VLOOKUP(B23,'2015 SQL Output'!$A$53:$T$75,16,FALSE)</f>
        <v>3348</v>
      </c>
      <c r="AL23" s="116">
        <f>VLOOKUP(B23,'2015 SQL Output'!$A$53:$T$75,17,FALSE)</f>
        <v>2643</v>
      </c>
      <c r="AM23" s="116">
        <f>VLOOKUP(B23,'2015 SQL Output'!$A$53:$T$75,18,FALSE)</f>
        <v>1910</v>
      </c>
      <c r="AN23" s="116">
        <f>VLOOKUP(B23,'2015 SQL Output'!$A$53:$T$75,19,FALSE)</f>
        <v>1343</v>
      </c>
      <c r="AO23" s="116">
        <f>VLOOKUP(B23,'2015 SQL Output'!$A$53:$T$75,20,FALSE)</f>
        <v>960</v>
      </c>
      <c r="AP23" s="116" t="s">
        <v>52</v>
      </c>
      <c r="AQ23" s="116">
        <f>VLOOKUP(B23,'2015 SQL Output'!$A$3:$T$24,2,FALSE)</f>
        <v>7112</v>
      </c>
      <c r="AR23" s="116">
        <f>VLOOKUP(B23,'2015 SQL Output'!$A$3:$T$24,3,FALSE)</f>
        <v>7776</v>
      </c>
      <c r="AS23" s="116">
        <f>VLOOKUP(B23,'2015 SQL Output'!$A$3:$T$24,4,FALSE)</f>
        <v>7154</v>
      </c>
      <c r="AT23" s="116">
        <f>VLOOKUP(B23,'2015 SQL Output'!$A$3:$T$24,5,FALSE)</f>
        <v>7654</v>
      </c>
      <c r="AU23" s="116">
        <f>VLOOKUP(B23,'2015 SQL Output'!$A$3:$T$24,6,FALSE)</f>
        <v>6810</v>
      </c>
      <c r="AV23" s="116">
        <f>VLOOKUP(B23,'2015 SQL Output'!$A$3:$T$24,7,FALSE)</f>
        <v>6984</v>
      </c>
      <c r="AW23" s="116">
        <f>VLOOKUP(B23,'2015 SQL Output'!$A$3:$T$24,8,FALSE)</f>
        <v>7056</v>
      </c>
      <c r="AX23" s="116">
        <f>VLOOKUP(B23,'2015 SQL Output'!$A$3:$T$24,9,FALSE)</f>
        <v>7622</v>
      </c>
      <c r="AY23" s="116">
        <f>VLOOKUP(B23,'2015 SQL Output'!$A$3:$T$24,10,FALSE)</f>
        <v>8408</v>
      </c>
      <c r="AZ23" s="116">
        <f>VLOOKUP(B23,'2015 SQL Output'!$A$3:$T$24,11,FALSE)</f>
        <v>9036</v>
      </c>
      <c r="BA23" s="116">
        <f>VLOOKUP(B23,'2015 SQL Output'!$A$3:$T$24,12,FALSE)</f>
        <v>9422</v>
      </c>
      <c r="BB23" s="116">
        <f>VLOOKUP(B23,'2015 SQL Output'!$A$3:$T$24,13,FALSE)</f>
        <v>8576</v>
      </c>
      <c r="BC23" s="116">
        <f>VLOOKUP(B23,'2015 SQL Output'!$A$3:$T$24,14,FALSE)</f>
        <v>8009</v>
      </c>
      <c r="BD23" s="116">
        <f>VLOOKUP(B23,'2015 SQL Output'!$A$3:$T$24,15,FALSE)</f>
        <v>8067</v>
      </c>
      <c r="BE23" s="116">
        <f>VLOOKUP(B23,'2015 SQL Output'!$A$3:$T$24,16,FALSE)</f>
        <v>6310</v>
      </c>
      <c r="BF23" s="116">
        <f>VLOOKUP(B23,'2015 SQL Output'!$A$3:$T$24,17,FALSE)</f>
        <v>4796</v>
      </c>
      <c r="BG23" s="116">
        <f>VLOOKUP(B23,'2015 SQL Output'!$A$3:$T$24,18,FALSE)</f>
        <v>3400</v>
      </c>
      <c r="BH23" s="116">
        <f>VLOOKUP(B23,'2015 SQL Output'!$A$3:$T$24,19,FALSE)</f>
        <v>2109</v>
      </c>
      <c r="BI23" s="116">
        <f>VLOOKUP(B23,'2015 SQL Output'!$A$3:$T$24,20,FALSE)</f>
        <v>1291</v>
      </c>
      <c r="BJ23" s="27" t="s">
        <v>52</v>
      </c>
    </row>
    <row r="24" spans="1:62" s="8" customFormat="1">
      <c r="A24" s="27" t="s">
        <v>54</v>
      </c>
      <c r="B24" s="28" t="s">
        <v>55</v>
      </c>
      <c r="C24" s="116">
        <f>VLOOKUP(B24,'2015 SQL Output'!$A$29:$T$50,2,FALSE)</f>
        <v>11803</v>
      </c>
      <c r="D24" s="116">
        <f>VLOOKUP(B24,'2015 SQL Output'!$A$29:$T$50,3,FALSE)</f>
        <v>10844</v>
      </c>
      <c r="E24" s="116">
        <f>VLOOKUP(B24,'2015 SQL Output'!$A$29:$T$50,4,FALSE)</f>
        <v>9104</v>
      </c>
      <c r="F24" s="116">
        <f>VLOOKUP(B24,'2015 SQL Output'!$A$29:$T$50,5,FALSE)</f>
        <v>11564</v>
      </c>
      <c r="G24" s="116">
        <f>VLOOKUP(B24,'2015 SQL Output'!$A$29:$T$50,6,FALSE)</f>
        <v>20404</v>
      </c>
      <c r="H24" s="116">
        <f>VLOOKUP(B24,'2015 SQL Output'!$A$29:$T$50,7,FALSE)</f>
        <v>15640</v>
      </c>
      <c r="I24" s="116">
        <f>VLOOKUP(B24,'2015 SQL Output'!$A$29:$T$50,8,FALSE)</f>
        <v>13799</v>
      </c>
      <c r="J24" s="116">
        <f>VLOOKUP(B24,'2015 SQL Output'!$A$29:$T$50,9,FALSE)</f>
        <v>11326</v>
      </c>
      <c r="K24" s="116">
        <f>VLOOKUP(B24,'2015 SQL Output'!$A$29:$T$50,10,FALSE)</f>
        <v>10916</v>
      </c>
      <c r="L24" s="116">
        <f>VLOOKUP(B24,'2015 SQL Output'!$A$29:$T$50,11,FALSE)</f>
        <v>10615</v>
      </c>
      <c r="M24" s="116">
        <f>VLOOKUP(B24,'2015 SQL Output'!$A$29:$T$50,12,FALSE)</f>
        <v>10516</v>
      </c>
      <c r="N24" s="116">
        <f>VLOOKUP(B24,'2015 SQL Output'!$A$29:$T$50,13,FALSE)</f>
        <v>9297</v>
      </c>
      <c r="O24" s="116">
        <f>VLOOKUP(B24,'2015 SQL Output'!$A$29:$T$50,14,FALSE)</f>
        <v>8040</v>
      </c>
      <c r="P24" s="116">
        <f>VLOOKUP(B24,'2015 SQL Output'!$A$29:$T$50,15,FALSE)</f>
        <v>7391</v>
      </c>
      <c r="Q24" s="116">
        <f>VLOOKUP(B24,'2015 SQL Output'!$A$29:$T$50,16,FALSE)</f>
        <v>5130</v>
      </c>
      <c r="R24" s="116">
        <f>VLOOKUP(B24,'2015 SQL Output'!$A$29:$T$50,17,FALSE)</f>
        <v>3943</v>
      </c>
      <c r="S24" s="116">
        <f>VLOOKUP(B24,'2015 SQL Output'!$A$29:$T$50,18,FALSE)</f>
        <v>2820</v>
      </c>
      <c r="T24" s="116">
        <f>VLOOKUP(B24,'2015 SQL Output'!$A$29:$T$50,19,FALSE)</f>
        <v>1620</v>
      </c>
      <c r="U24" s="116">
        <f>VLOOKUP(B24,'2015 SQL Output'!$A$29:$T$50,20,FALSE)</f>
        <v>778</v>
      </c>
      <c r="V24" s="116" t="s">
        <v>54</v>
      </c>
      <c r="W24" s="116">
        <f>VLOOKUP(B24,'2015 SQL Output'!$A$53:$T$75,2,FALSE)</f>
        <v>11106</v>
      </c>
      <c r="X24" s="116">
        <f>VLOOKUP(B24,'2015 SQL Output'!$A$53:$T$75,3,FALSE)</f>
        <v>10666</v>
      </c>
      <c r="Y24" s="116">
        <f>VLOOKUP(B24,'2015 SQL Output'!$A$53:$T$75,4,FALSE)</f>
        <v>8753</v>
      </c>
      <c r="Z24" s="116">
        <f>VLOOKUP(B24,'2015 SQL Output'!$A$53:$T$75,5,FALSE)</f>
        <v>12210</v>
      </c>
      <c r="AA24" s="116">
        <f>VLOOKUP(B24,'2015 SQL Output'!$A$53:$T$75,6,FALSE)</f>
        <v>21407</v>
      </c>
      <c r="AB24" s="116">
        <f>VLOOKUP(B24,'2015 SQL Output'!$A$53:$T$75,7,FALSE)</f>
        <v>14542</v>
      </c>
      <c r="AC24" s="116">
        <f>VLOOKUP(B24,'2015 SQL Output'!$A$53:$T$75,8,FALSE)</f>
        <v>13238</v>
      </c>
      <c r="AD24" s="116">
        <f>VLOOKUP(B24,'2015 SQL Output'!$A$53:$T$75,9,FALSE)</f>
        <v>11342</v>
      </c>
      <c r="AE24" s="116">
        <f>VLOOKUP(B24,'2015 SQL Output'!$A$53:$T$75,10,FALSE)</f>
        <v>10424</v>
      </c>
      <c r="AF24" s="116">
        <f>VLOOKUP(B24,'2015 SQL Output'!$A$53:$T$75,11,FALSE)</f>
        <v>11001</v>
      </c>
      <c r="AG24" s="116">
        <f>VLOOKUP(B24,'2015 SQL Output'!$A$53:$T$75,12,FALSE)</f>
        <v>11178</v>
      </c>
      <c r="AH24" s="116">
        <f>VLOOKUP(B24,'2015 SQL Output'!$A$53:$T$75,13,FALSE)</f>
        <v>9569</v>
      </c>
      <c r="AI24" s="116">
        <f>VLOOKUP(B24,'2015 SQL Output'!$A$53:$T$75,14,FALSE)</f>
        <v>8268</v>
      </c>
      <c r="AJ24" s="116">
        <f>VLOOKUP(B24,'2015 SQL Output'!$A$53:$T$75,15,FALSE)</f>
        <v>7626</v>
      </c>
      <c r="AK24" s="116">
        <f>VLOOKUP(B24,'2015 SQL Output'!$A$53:$T$75,16,FALSE)</f>
        <v>5890</v>
      </c>
      <c r="AL24" s="116">
        <f>VLOOKUP(B24,'2015 SQL Output'!$A$53:$T$75,17,FALSE)</f>
        <v>5261</v>
      </c>
      <c r="AM24" s="116">
        <f>VLOOKUP(B24,'2015 SQL Output'!$A$53:$T$75,18,FALSE)</f>
        <v>4319</v>
      </c>
      <c r="AN24" s="116">
        <f>VLOOKUP(B24,'2015 SQL Output'!$A$53:$T$75,19,FALSE)</f>
        <v>2889</v>
      </c>
      <c r="AO24" s="116">
        <f>VLOOKUP(B24,'2015 SQL Output'!$A$53:$T$75,20,FALSE)</f>
        <v>1921</v>
      </c>
      <c r="AP24" s="116" t="s">
        <v>54</v>
      </c>
      <c r="AQ24" s="116">
        <f>VLOOKUP(B24,'2015 SQL Output'!$A$3:$T$24,2,FALSE)</f>
        <v>22909</v>
      </c>
      <c r="AR24" s="116">
        <f>VLOOKUP(B24,'2015 SQL Output'!$A$3:$T$24,3,FALSE)</f>
        <v>21510</v>
      </c>
      <c r="AS24" s="116">
        <f>VLOOKUP(B24,'2015 SQL Output'!$A$3:$T$24,4,FALSE)</f>
        <v>17857</v>
      </c>
      <c r="AT24" s="116">
        <f>VLOOKUP(B24,'2015 SQL Output'!$A$3:$T$24,5,FALSE)</f>
        <v>23774</v>
      </c>
      <c r="AU24" s="116">
        <f>VLOOKUP(B24,'2015 SQL Output'!$A$3:$T$24,6,FALSE)</f>
        <v>41811</v>
      </c>
      <c r="AV24" s="116">
        <f>VLOOKUP(B24,'2015 SQL Output'!$A$3:$T$24,7,FALSE)</f>
        <v>30182</v>
      </c>
      <c r="AW24" s="116">
        <f>VLOOKUP(B24,'2015 SQL Output'!$A$3:$T$24,8,FALSE)</f>
        <v>27037</v>
      </c>
      <c r="AX24" s="116">
        <f>VLOOKUP(B24,'2015 SQL Output'!$A$3:$T$24,9,FALSE)</f>
        <v>22668</v>
      </c>
      <c r="AY24" s="116">
        <f>VLOOKUP(B24,'2015 SQL Output'!$A$3:$T$24,10,FALSE)</f>
        <v>21340</v>
      </c>
      <c r="AZ24" s="116">
        <f>VLOOKUP(B24,'2015 SQL Output'!$A$3:$T$24,11,FALSE)</f>
        <v>21616</v>
      </c>
      <c r="BA24" s="116">
        <f>VLOOKUP(B24,'2015 SQL Output'!$A$3:$T$24,12,FALSE)</f>
        <v>21694</v>
      </c>
      <c r="BB24" s="116">
        <f>VLOOKUP(B24,'2015 SQL Output'!$A$3:$T$24,13,FALSE)</f>
        <v>18866</v>
      </c>
      <c r="BC24" s="116">
        <f>VLOOKUP(B24,'2015 SQL Output'!$A$3:$T$24,14,FALSE)</f>
        <v>16308</v>
      </c>
      <c r="BD24" s="116">
        <f>VLOOKUP(B24,'2015 SQL Output'!$A$3:$T$24,15,FALSE)</f>
        <v>15017</v>
      </c>
      <c r="BE24" s="116">
        <f>VLOOKUP(B24,'2015 SQL Output'!$A$3:$T$24,16,FALSE)</f>
        <v>11020</v>
      </c>
      <c r="BF24" s="116">
        <f>VLOOKUP(B24,'2015 SQL Output'!$A$3:$T$24,17,FALSE)</f>
        <v>9204</v>
      </c>
      <c r="BG24" s="116">
        <f>VLOOKUP(B24,'2015 SQL Output'!$A$3:$T$24,18,FALSE)</f>
        <v>7139</v>
      </c>
      <c r="BH24" s="116">
        <f>VLOOKUP(B24,'2015 SQL Output'!$A$3:$T$24,19,FALSE)</f>
        <v>4509</v>
      </c>
      <c r="BI24" s="116">
        <f>VLOOKUP(B24,'2015 SQL Output'!$A$3:$T$24,20,FALSE)</f>
        <v>2699</v>
      </c>
      <c r="BJ24" s="27" t="s">
        <v>54</v>
      </c>
    </row>
    <row r="25" spans="1:62" s="8" customFormat="1">
      <c r="A25" s="29" t="s">
        <v>56</v>
      </c>
      <c r="B25" s="30" t="s">
        <v>57</v>
      </c>
      <c r="C25" s="117">
        <f>VLOOKUP(B25,'2015 SQL Output'!$A$29:$T$50,2,FALSE)</f>
        <v>7206</v>
      </c>
      <c r="D25" s="117">
        <f>VLOOKUP(B25,'2015 SQL Output'!$A$29:$T$50,3,FALSE)</f>
        <v>7362</v>
      </c>
      <c r="E25" s="117">
        <f>VLOOKUP(B25,'2015 SQL Output'!$A$29:$T$50,4,FALSE)</f>
        <v>6569</v>
      </c>
      <c r="F25" s="117">
        <f>VLOOKUP(B25,'2015 SQL Output'!$A$29:$T$50,5,FALSE)</f>
        <v>7251</v>
      </c>
      <c r="G25" s="117">
        <f>VLOOKUP(B25,'2015 SQL Output'!$A$29:$T$50,6,FALSE)</f>
        <v>8453</v>
      </c>
      <c r="H25" s="117">
        <f>VLOOKUP(B25,'2015 SQL Output'!$A$29:$T$50,7,FALSE)</f>
        <v>8014</v>
      </c>
      <c r="I25" s="117">
        <f>VLOOKUP(B25,'2015 SQL Output'!$A$29:$T$50,8,FALSE)</f>
        <v>7147</v>
      </c>
      <c r="J25" s="117">
        <f>VLOOKUP(B25,'2015 SQL Output'!$A$29:$T$50,9,FALSE)</f>
        <v>6689</v>
      </c>
      <c r="K25" s="117">
        <f>VLOOKUP(B25,'2015 SQL Output'!$A$29:$T$50,10,FALSE)</f>
        <v>7344</v>
      </c>
      <c r="L25" s="117">
        <f>VLOOKUP(B25,'2015 SQL Output'!$A$29:$T$50,11,FALSE)</f>
        <v>8255</v>
      </c>
      <c r="M25" s="117">
        <f>VLOOKUP(B25,'2015 SQL Output'!$A$29:$T$50,12,FALSE)</f>
        <v>8193</v>
      </c>
      <c r="N25" s="117">
        <f>VLOOKUP(B25,'2015 SQL Output'!$A$29:$T$50,13,FALSE)</f>
        <v>7137</v>
      </c>
      <c r="O25" s="117">
        <f>VLOOKUP(B25,'2015 SQL Output'!$A$29:$T$50,14,FALSE)</f>
        <v>6605</v>
      </c>
      <c r="P25" s="117">
        <f>VLOOKUP(B25,'2015 SQL Output'!$A$29:$T$50,15,FALSE)</f>
        <v>7140</v>
      </c>
      <c r="Q25" s="117">
        <f>VLOOKUP(B25,'2015 SQL Output'!$A$29:$T$50,16,FALSE)</f>
        <v>5175</v>
      </c>
      <c r="R25" s="117">
        <f>VLOOKUP(B25,'2015 SQL Output'!$A$29:$T$50,17,FALSE)</f>
        <v>3723</v>
      </c>
      <c r="S25" s="117">
        <f>VLOOKUP(B25,'2015 SQL Output'!$A$29:$T$50,18,FALSE)</f>
        <v>2494</v>
      </c>
      <c r="T25" s="117">
        <f>VLOOKUP(B25,'2015 SQL Output'!$A$29:$T$50,19,FALSE)</f>
        <v>1213</v>
      </c>
      <c r="U25" s="117">
        <f>VLOOKUP(B25,'2015 SQL Output'!$A$29:$T$50,20,FALSE)</f>
        <v>475</v>
      </c>
      <c r="V25" s="117" t="s">
        <v>56</v>
      </c>
      <c r="W25" s="117">
        <f>VLOOKUP(B25,'2015 SQL Output'!$A$53:$T$75,2,FALSE)</f>
        <v>7089</v>
      </c>
      <c r="X25" s="117">
        <f>VLOOKUP(B25,'2015 SQL Output'!$A$53:$T$75,3,FALSE)</f>
        <v>6920</v>
      </c>
      <c r="Y25" s="117">
        <f>VLOOKUP(B25,'2015 SQL Output'!$A$53:$T$75,4,FALSE)</f>
        <v>6353</v>
      </c>
      <c r="Z25" s="117">
        <f>VLOOKUP(B25,'2015 SQL Output'!$A$53:$T$75,5,FALSE)</f>
        <v>6953</v>
      </c>
      <c r="AA25" s="117">
        <f>VLOOKUP(B25,'2015 SQL Output'!$A$53:$T$75,6,FALSE)</f>
        <v>7972</v>
      </c>
      <c r="AB25" s="117">
        <f>VLOOKUP(B25,'2015 SQL Output'!$A$53:$T$75,7,FALSE)</f>
        <v>8058</v>
      </c>
      <c r="AC25" s="117">
        <f>VLOOKUP(B25,'2015 SQL Output'!$A$53:$T$75,8,FALSE)</f>
        <v>7726</v>
      </c>
      <c r="AD25" s="117">
        <f>VLOOKUP(B25,'2015 SQL Output'!$A$53:$T$75,9,FALSE)</f>
        <v>6902</v>
      </c>
      <c r="AE25" s="117">
        <f>VLOOKUP(B25,'2015 SQL Output'!$A$53:$T$75,10,FALSE)</f>
        <v>7757</v>
      </c>
      <c r="AF25" s="117">
        <f>VLOOKUP(B25,'2015 SQL Output'!$A$53:$T$75,11,FALSE)</f>
        <v>8414</v>
      </c>
      <c r="AG25" s="117">
        <f>VLOOKUP(B25,'2015 SQL Output'!$A$53:$T$75,12,FALSE)</f>
        <v>8367</v>
      </c>
      <c r="AH25" s="117">
        <f>VLOOKUP(B25,'2015 SQL Output'!$A$53:$T$75,13,FALSE)</f>
        <v>7495</v>
      </c>
      <c r="AI25" s="117">
        <f>VLOOKUP(B25,'2015 SQL Output'!$A$53:$T$75,14,FALSE)</f>
        <v>6800</v>
      </c>
      <c r="AJ25" s="117">
        <f>VLOOKUP(B25,'2015 SQL Output'!$A$53:$T$75,15,FALSE)</f>
        <v>7425</v>
      </c>
      <c r="AK25" s="117">
        <f>VLOOKUP(B25,'2015 SQL Output'!$A$53:$T$75,16,FALSE)</f>
        <v>5631</v>
      </c>
      <c r="AL25" s="117">
        <f>VLOOKUP(B25,'2015 SQL Output'!$A$53:$T$75,17,FALSE)</f>
        <v>4433</v>
      </c>
      <c r="AM25" s="117">
        <f>VLOOKUP(B25,'2015 SQL Output'!$A$53:$T$75,18,FALSE)</f>
        <v>3280</v>
      </c>
      <c r="AN25" s="117">
        <f>VLOOKUP(B25,'2015 SQL Output'!$A$53:$T$75,19,FALSE)</f>
        <v>2027</v>
      </c>
      <c r="AO25" s="117">
        <f>VLOOKUP(B25,'2015 SQL Output'!$A$53:$T$75,20,FALSE)</f>
        <v>1364</v>
      </c>
      <c r="AP25" s="117" t="s">
        <v>56</v>
      </c>
      <c r="AQ25" s="117">
        <f>VLOOKUP(B25,'2015 SQL Output'!$A$3:$T$24,2,FALSE)</f>
        <v>14295</v>
      </c>
      <c r="AR25" s="117">
        <f>VLOOKUP(B25,'2015 SQL Output'!$A$3:$T$24,3,FALSE)</f>
        <v>14282</v>
      </c>
      <c r="AS25" s="117">
        <f>VLOOKUP(B25,'2015 SQL Output'!$A$3:$T$24,4,FALSE)</f>
        <v>12922</v>
      </c>
      <c r="AT25" s="117">
        <f>VLOOKUP(B25,'2015 SQL Output'!$A$3:$T$24,5,FALSE)</f>
        <v>14204</v>
      </c>
      <c r="AU25" s="117">
        <f>VLOOKUP(B25,'2015 SQL Output'!$A$3:$T$24,6,FALSE)</f>
        <v>16425</v>
      </c>
      <c r="AV25" s="117">
        <f>VLOOKUP(B25,'2015 SQL Output'!$A$3:$T$24,7,FALSE)</f>
        <v>16072</v>
      </c>
      <c r="AW25" s="117">
        <f>VLOOKUP(B25,'2015 SQL Output'!$A$3:$T$24,8,FALSE)</f>
        <v>14873</v>
      </c>
      <c r="AX25" s="117">
        <f>VLOOKUP(B25,'2015 SQL Output'!$A$3:$T$24,9,FALSE)</f>
        <v>13591</v>
      </c>
      <c r="AY25" s="117">
        <f>VLOOKUP(B25,'2015 SQL Output'!$A$3:$T$24,10,FALSE)</f>
        <v>15101</v>
      </c>
      <c r="AZ25" s="117">
        <f>VLOOKUP(B25,'2015 SQL Output'!$A$3:$T$24,11,FALSE)</f>
        <v>16669</v>
      </c>
      <c r="BA25" s="117">
        <f>VLOOKUP(B25,'2015 SQL Output'!$A$3:$T$24,12,FALSE)</f>
        <v>16560</v>
      </c>
      <c r="BB25" s="117">
        <f>VLOOKUP(B25,'2015 SQL Output'!$A$3:$T$24,13,FALSE)</f>
        <v>14632</v>
      </c>
      <c r="BC25" s="117">
        <f>VLOOKUP(B25,'2015 SQL Output'!$A$3:$T$24,14,FALSE)</f>
        <v>13405</v>
      </c>
      <c r="BD25" s="117">
        <f>VLOOKUP(B25,'2015 SQL Output'!$A$3:$T$24,15,FALSE)</f>
        <v>14565</v>
      </c>
      <c r="BE25" s="117">
        <f>VLOOKUP(B25,'2015 SQL Output'!$A$3:$T$24,16,FALSE)</f>
        <v>10806</v>
      </c>
      <c r="BF25" s="117">
        <f>VLOOKUP(B25,'2015 SQL Output'!$A$3:$T$24,17,FALSE)</f>
        <v>8156</v>
      </c>
      <c r="BG25" s="117">
        <f>VLOOKUP(B25,'2015 SQL Output'!$A$3:$T$24,18,FALSE)</f>
        <v>5774</v>
      </c>
      <c r="BH25" s="117">
        <f>VLOOKUP(B25,'2015 SQL Output'!$A$3:$T$24,19,FALSE)</f>
        <v>3240</v>
      </c>
      <c r="BI25" s="117">
        <f>VLOOKUP(B25,'2015 SQL Output'!$A$3:$T$24,20,FALSE)</f>
        <v>1839</v>
      </c>
      <c r="BJ25" s="29" t="s">
        <v>56</v>
      </c>
    </row>
    <row r="26" spans="1:62" s="8" customFormat="1">
      <c r="A26" s="29" t="s">
        <v>58</v>
      </c>
      <c r="B26" s="30" t="s">
        <v>59</v>
      </c>
      <c r="C26" s="117">
        <f>VLOOKUP(B26,'2015 SQL Output'!$A$29:$T$50,2,FALSE)</f>
        <v>1917</v>
      </c>
      <c r="D26" s="117">
        <f>VLOOKUP(B26,'2015 SQL Output'!$A$29:$T$50,3,FALSE)</f>
        <v>1851</v>
      </c>
      <c r="E26" s="117">
        <f>VLOOKUP(B26,'2015 SQL Output'!$A$29:$T$50,4,FALSE)</f>
        <v>1611</v>
      </c>
      <c r="F26" s="117">
        <f>VLOOKUP(B26,'2015 SQL Output'!$A$29:$T$50,5,FALSE)</f>
        <v>1749</v>
      </c>
      <c r="G26" s="117">
        <f>VLOOKUP(B26,'2015 SQL Output'!$A$29:$T$50,6,FALSE)</f>
        <v>1867</v>
      </c>
      <c r="H26" s="117">
        <f>VLOOKUP(B26,'2015 SQL Output'!$A$29:$T$50,7,FALSE)</f>
        <v>2076</v>
      </c>
      <c r="I26" s="117">
        <f>VLOOKUP(B26,'2015 SQL Output'!$A$29:$T$50,8,FALSE)</f>
        <v>1942</v>
      </c>
      <c r="J26" s="117">
        <f>VLOOKUP(B26,'2015 SQL Output'!$A$29:$T$50,9,FALSE)</f>
        <v>1631</v>
      </c>
      <c r="K26" s="117">
        <f>VLOOKUP(B26,'2015 SQL Output'!$A$29:$T$50,10,FALSE)</f>
        <v>1735</v>
      </c>
      <c r="L26" s="117">
        <f>VLOOKUP(B26,'2015 SQL Output'!$A$29:$T$50,11,FALSE)</f>
        <v>2048</v>
      </c>
      <c r="M26" s="117">
        <f>VLOOKUP(B26,'2015 SQL Output'!$A$29:$T$50,12,FALSE)</f>
        <v>2037</v>
      </c>
      <c r="N26" s="117">
        <f>VLOOKUP(B26,'2015 SQL Output'!$A$29:$T$50,13,FALSE)</f>
        <v>1935</v>
      </c>
      <c r="O26" s="117">
        <f>VLOOKUP(B26,'2015 SQL Output'!$A$29:$T$50,14,FALSE)</f>
        <v>1727</v>
      </c>
      <c r="P26" s="117">
        <f>VLOOKUP(B26,'2015 SQL Output'!$A$29:$T$50,15,FALSE)</f>
        <v>1640</v>
      </c>
      <c r="Q26" s="117">
        <f>VLOOKUP(B26,'2015 SQL Output'!$A$29:$T$50,16,FALSE)</f>
        <v>1287</v>
      </c>
      <c r="R26" s="117">
        <f>VLOOKUP(B26,'2015 SQL Output'!$A$29:$T$50,17,FALSE)</f>
        <v>991</v>
      </c>
      <c r="S26" s="117">
        <f>VLOOKUP(B26,'2015 SQL Output'!$A$29:$T$50,18,FALSE)</f>
        <v>597</v>
      </c>
      <c r="T26" s="117">
        <f>VLOOKUP(B26,'2015 SQL Output'!$A$29:$T$50,19,FALSE)</f>
        <v>291</v>
      </c>
      <c r="U26" s="117">
        <f>VLOOKUP(B26,'2015 SQL Output'!$A$29:$T$50,20,FALSE)</f>
        <v>138</v>
      </c>
      <c r="V26" s="117" t="s">
        <v>58</v>
      </c>
      <c r="W26" s="117">
        <f>VLOOKUP(B26,'2015 SQL Output'!$A$53:$T$75,2,FALSE)</f>
        <v>1783</v>
      </c>
      <c r="X26" s="117">
        <f>VLOOKUP(B26,'2015 SQL Output'!$A$53:$T$75,3,FALSE)</f>
        <v>1737</v>
      </c>
      <c r="Y26" s="117">
        <f>VLOOKUP(B26,'2015 SQL Output'!$A$53:$T$75,4,FALSE)</f>
        <v>1507</v>
      </c>
      <c r="Z26" s="117">
        <f>VLOOKUP(B26,'2015 SQL Output'!$A$53:$T$75,5,FALSE)</f>
        <v>1756</v>
      </c>
      <c r="AA26" s="117">
        <f>VLOOKUP(B26,'2015 SQL Output'!$A$53:$T$75,6,FALSE)</f>
        <v>1866</v>
      </c>
      <c r="AB26" s="117">
        <f>VLOOKUP(B26,'2015 SQL Output'!$A$53:$T$75,7,FALSE)</f>
        <v>2144</v>
      </c>
      <c r="AC26" s="117">
        <f>VLOOKUP(B26,'2015 SQL Output'!$A$53:$T$75,8,FALSE)</f>
        <v>2103</v>
      </c>
      <c r="AD26" s="117">
        <f>VLOOKUP(B26,'2015 SQL Output'!$A$53:$T$75,9,FALSE)</f>
        <v>1624</v>
      </c>
      <c r="AE26" s="117">
        <f>VLOOKUP(B26,'2015 SQL Output'!$A$53:$T$75,10,FALSE)</f>
        <v>1831</v>
      </c>
      <c r="AF26" s="117">
        <f>VLOOKUP(B26,'2015 SQL Output'!$A$53:$T$75,11,FALSE)</f>
        <v>2163</v>
      </c>
      <c r="AG26" s="117">
        <f>VLOOKUP(B26,'2015 SQL Output'!$A$53:$T$75,12,FALSE)</f>
        <v>2247</v>
      </c>
      <c r="AH26" s="117">
        <f>VLOOKUP(B26,'2015 SQL Output'!$A$53:$T$75,13,FALSE)</f>
        <v>1937</v>
      </c>
      <c r="AI26" s="117">
        <f>VLOOKUP(B26,'2015 SQL Output'!$A$53:$T$75,14,FALSE)</f>
        <v>1755</v>
      </c>
      <c r="AJ26" s="117">
        <f>VLOOKUP(B26,'2015 SQL Output'!$A$53:$T$75,15,FALSE)</f>
        <v>1748</v>
      </c>
      <c r="AK26" s="117">
        <f>VLOOKUP(B26,'2015 SQL Output'!$A$53:$T$75,16,FALSE)</f>
        <v>1350</v>
      </c>
      <c r="AL26" s="117">
        <f>VLOOKUP(B26,'2015 SQL Output'!$A$53:$T$75,17,FALSE)</f>
        <v>1079</v>
      </c>
      <c r="AM26" s="117">
        <f>VLOOKUP(B26,'2015 SQL Output'!$A$53:$T$75,18,FALSE)</f>
        <v>806</v>
      </c>
      <c r="AN26" s="117">
        <f>VLOOKUP(B26,'2015 SQL Output'!$A$53:$T$75,19,FALSE)</f>
        <v>490</v>
      </c>
      <c r="AO26" s="117">
        <f>VLOOKUP(B26,'2015 SQL Output'!$A$53:$T$75,20,FALSE)</f>
        <v>328</v>
      </c>
      <c r="AP26" s="117" t="s">
        <v>58</v>
      </c>
      <c r="AQ26" s="117">
        <f>VLOOKUP(B26,'2015 SQL Output'!$A$3:$T$24,2,FALSE)</f>
        <v>3700</v>
      </c>
      <c r="AR26" s="117">
        <f>VLOOKUP(B26,'2015 SQL Output'!$A$3:$T$24,3,FALSE)</f>
        <v>3588</v>
      </c>
      <c r="AS26" s="117">
        <f>VLOOKUP(B26,'2015 SQL Output'!$A$3:$T$24,4,FALSE)</f>
        <v>3118</v>
      </c>
      <c r="AT26" s="117">
        <f>VLOOKUP(B26,'2015 SQL Output'!$A$3:$T$24,5,FALSE)</f>
        <v>3505</v>
      </c>
      <c r="AU26" s="117">
        <f>VLOOKUP(B26,'2015 SQL Output'!$A$3:$T$24,6,FALSE)</f>
        <v>3733</v>
      </c>
      <c r="AV26" s="117">
        <f>VLOOKUP(B26,'2015 SQL Output'!$A$3:$T$24,7,FALSE)</f>
        <v>4220</v>
      </c>
      <c r="AW26" s="117">
        <f>VLOOKUP(B26,'2015 SQL Output'!$A$3:$T$24,8,FALSE)</f>
        <v>4045</v>
      </c>
      <c r="AX26" s="117">
        <f>VLOOKUP(B26,'2015 SQL Output'!$A$3:$T$24,9,FALSE)</f>
        <v>3255</v>
      </c>
      <c r="AY26" s="117">
        <f>VLOOKUP(B26,'2015 SQL Output'!$A$3:$T$24,10,FALSE)</f>
        <v>3566</v>
      </c>
      <c r="AZ26" s="117">
        <f>VLOOKUP(B26,'2015 SQL Output'!$A$3:$T$24,11,FALSE)</f>
        <v>4211</v>
      </c>
      <c r="BA26" s="117">
        <f>VLOOKUP(B26,'2015 SQL Output'!$A$3:$T$24,12,FALSE)</f>
        <v>4284</v>
      </c>
      <c r="BB26" s="117">
        <f>VLOOKUP(B26,'2015 SQL Output'!$A$3:$T$24,13,FALSE)</f>
        <v>3872</v>
      </c>
      <c r="BC26" s="117">
        <f>VLOOKUP(B26,'2015 SQL Output'!$A$3:$T$24,14,FALSE)</f>
        <v>3482</v>
      </c>
      <c r="BD26" s="117">
        <f>VLOOKUP(B26,'2015 SQL Output'!$A$3:$T$24,15,FALSE)</f>
        <v>3388</v>
      </c>
      <c r="BE26" s="117">
        <f>VLOOKUP(B26,'2015 SQL Output'!$A$3:$T$24,16,FALSE)</f>
        <v>2637</v>
      </c>
      <c r="BF26" s="117">
        <f>VLOOKUP(B26,'2015 SQL Output'!$A$3:$T$24,17,FALSE)</f>
        <v>2070</v>
      </c>
      <c r="BG26" s="117">
        <f>VLOOKUP(B26,'2015 SQL Output'!$A$3:$T$24,18,FALSE)</f>
        <v>1403</v>
      </c>
      <c r="BH26" s="117">
        <f>VLOOKUP(B26,'2015 SQL Output'!$A$3:$T$24,19,FALSE)</f>
        <v>781</v>
      </c>
      <c r="BI26" s="117">
        <f>VLOOKUP(B26,'2015 SQL Output'!$A$3:$T$24,20,FALSE)</f>
        <v>466</v>
      </c>
      <c r="BJ26" s="29" t="s">
        <v>58</v>
      </c>
    </row>
    <row r="27" spans="1:62" s="8" customFormat="1">
      <c r="A27" s="13" t="s">
        <v>60</v>
      </c>
      <c r="B27" s="31" t="s">
        <v>61</v>
      </c>
      <c r="C27" s="118">
        <f>VLOOKUP(B27,'2015 SQL Output'!$A$29:$T$50,2,FALSE)</f>
        <v>5330</v>
      </c>
      <c r="D27" s="118">
        <f>VLOOKUP(B27,'2015 SQL Output'!$A$29:$T$50,3,FALSE)</f>
        <v>5787</v>
      </c>
      <c r="E27" s="118">
        <f>VLOOKUP(B27,'2015 SQL Output'!$A$29:$T$50,4,FALSE)</f>
        <v>5358</v>
      </c>
      <c r="F27" s="118">
        <f>VLOOKUP(B27,'2015 SQL Output'!$A$29:$T$50,5,FALSE)</f>
        <v>5485</v>
      </c>
      <c r="G27" s="118">
        <f>VLOOKUP(B27,'2015 SQL Output'!$A$29:$T$50,6,FALSE)</f>
        <v>5384</v>
      </c>
      <c r="H27" s="118">
        <f>VLOOKUP(B27,'2015 SQL Output'!$A$29:$T$50,7,FALSE)</f>
        <v>5651</v>
      </c>
      <c r="I27" s="118">
        <f>VLOOKUP(B27,'2015 SQL Output'!$A$29:$T$50,8,FALSE)</f>
        <v>5472</v>
      </c>
      <c r="J27" s="118">
        <f>VLOOKUP(B27,'2015 SQL Output'!$A$29:$T$50,9,FALSE)</f>
        <v>5185</v>
      </c>
      <c r="K27" s="118">
        <f>VLOOKUP(B27,'2015 SQL Output'!$A$29:$T$50,10,FALSE)</f>
        <v>5682</v>
      </c>
      <c r="L27" s="118">
        <f>VLOOKUP(B27,'2015 SQL Output'!$A$29:$T$50,11,FALSE)</f>
        <v>6518</v>
      </c>
      <c r="M27" s="118">
        <f>VLOOKUP(B27,'2015 SQL Output'!$A$29:$T$50,12,FALSE)</f>
        <v>6364</v>
      </c>
      <c r="N27" s="118">
        <f>VLOOKUP(B27,'2015 SQL Output'!$A$29:$T$50,13,FALSE)</f>
        <v>5578</v>
      </c>
      <c r="O27" s="118">
        <f>VLOOKUP(B27,'2015 SQL Output'!$A$29:$T$50,14,FALSE)</f>
        <v>5128</v>
      </c>
      <c r="P27" s="118">
        <f>VLOOKUP(B27,'2015 SQL Output'!$A$29:$T$50,15,FALSE)</f>
        <v>5402</v>
      </c>
      <c r="Q27" s="118">
        <f>VLOOKUP(B27,'2015 SQL Output'!$A$29:$T$50,16,FALSE)</f>
        <v>3982</v>
      </c>
      <c r="R27" s="118">
        <f>VLOOKUP(B27,'2015 SQL Output'!$A$29:$T$50,17,FALSE)</f>
        <v>2910</v>
      </c>
      <c r="S27" s="118">
        <f>VLOOKUP(B27,'2015 SQL Output'!$A$29:$T$50,18,FALSE)</f>
        <v>1791</v>
      </c>
      <c r="T27" s="118">
        <f>VLOOKUP(B27,'2015 SQL Output'!$A$29:$T$50,19,FALSE)</f>
        <v>892</v>
      </c>
      <c r="U27" s="118">
        <f>VLOOKUP(B27,'2015 SQL Output'!$A$29:$T$50,20,FALSE)</f>
        <v>315</v>
      </c>
      <c r="V27" s="118" t="s">
        <v>60</v>
      </c>
      <c r="W27" s="118">
        <f>VLOOKUP(B27,'2015 SQL Output'!$A$53:$T$75,2,FALSE)</f>
        <v>5276</v>
      </c>
      <c r="X27" s="118">
        <f>VLOOKUP(B27,'2015 SQL Output'!$A$53:$T$75,3,FALSE)</f>
        <v>5434</v>
      </c>
      <c r="Y27" s="118">
        <f>VLOOKUP(B27,'2015 SQL Output'!$A$53:$T$75,4,FALSE)</f>
        <v>4930</v>
      </c>
      <c r="Z27" s="118">
        <f>VLOOKUP(B27,'2015 SQL Output'!$A$53:$T$75,5,FALSE)</f>
        <v>5268</v>
      </c>
      <c r="AA27" s="118">
        <f>VLOOKUP(B27,'2015 SQL Output'!$A$53:$T$75,6,FALSE)</f>
        <v>5265</v>
      </c>
      <c r="AB27" s="118">
        <f>VLOOKUP(B27,'2015 SQL Output'!$A$53:$T$75,7,FALSE)</f>
        <v>5952</v>
      </c>
      <c r="AC27" s="118">
        <f>VLOOKUP(B27,'2015 SQL Output'!$A$53:$T$75,8,FALSE)</f>
        <v>6055</v>
      </c>
      <c r="AD27" s="118">
        <f>VLOOKUP(B27,'2015 SQL Output'!$A$53:$T$75,9,FALSE)</f>
        <v>5487</v>
      </c>
      <c r="AE27" s="118">
        <f>VLOOKUP(B27,'2015 SQL Output'!$A$53:$T$75,10,FALSE)</f>
        <v>6012</v>
      </c>
      <c r="AF27" s="118">
        <f>VLOOKUP(B27,'2015 SQL Output'!$A$53:$T$75,11,FALSE)</f>
        <v>6662</v>
      </c>
      <c r="AG27" s="118">
        <f>VLOOKUP(B27,'2015 SQL Output'!$A$53:$T$75,12,FALSE)</f>
        <v>6438</v>
      </c>
      <c r="AH27" s="118">
        <f>VLOOKUP(B27,'2015 SQL Output'!$A$53:$T$75,13,FALSE)</f>
        <v>5727</v>
      </c>
      <c r="AI27" s="118">
        <f>VLOOKUP(B27,'2015 SQL Output'!$A$53:$T$75,14,FALSE)</f>
        <v>5355</v>
      </c>
      <c r="AJ27" s="118">
        <f>VLOOKUP(B27,'2015 SQL Output'!$A$53:$T$75,15,FALSE)</f>
        <v>5648</v>
      </c>
      <c r="AK27" s="118">
        <f>VLOOKUP(B27,'2015 SQL Output'!$A$53:$T$75,16,FALSE)</f>
        <v>4362</v>
      </c>
      <c r="AL27" s="118">
        <f>VLOOKUP(B27,'2015 SQL Output'!$A$53:$T$75,17,FALSE)</f>
        <v>3322</v>
      </c>
      <c r="AM27" s="118">
        <f>VLOOKUP(B27,'2015 SQL Output'!$A$53:$T$75,18,FALSE)</f>
        <v>2493</v>
      </c>
      <c r="AN27" s="118">
        <f>VLOOKUP(B27,'2015 SQL Output'!$A$53:$T$75,19,FALSE)</f>
        <v>1375</v>
      </c>
      <c r="AO27" s="118">
        <f>VLOOKUP(B27,'2015 SQL Output'!$A$53:$T$75,20,FALSE)</f>
        <v>889</v>
      </c>
      <c r="AP27" s="118" t="s">
        <v>60</v>
      </c>
      <c r="AQ27" s="118">
        <f>VLOOKUP(B27,'2015 SQL Output'!$A$3:$T$24,2,FALSE)</f>
        <v>10606</v>
      </c>
      <c r="AR27" s="118">
        <f>VLOOKUP(B27,'2015 SQL Output'!$A$3:$T$24,3,FALSE)</f>
        <v>11221</v>
      </c>
      <c r="AS27" s="118">
        <f>VLOOKUP(B27,'2015 SQL Output'!$A$3:$T$24,4,FALSE)</f>
        <v>10288</v>
      </c>
      <c r="AT27" s="118">
        <f>VLOOKUP(B27,'2015 SQL Output'!$A$3:$T$24,5,FALSE)</f>
        <v>10753</v>
      </c>
      <c r="AU27" s="118">
        <f>VLOOKUP(B27,'2015 SQL Output'!$A$3:$T$24,6,FALSE)</f>
        <v>10649</v>
      </c>
      <c r="AV27" s="118">
        <f>VLOOKUP(B27,'2015 SQL Output'!$A$3:$T$24,7,FALSE)</f>
        <v>11603</v>
      </c>
      <c r="AW27" s="118">
        <f>VLOOKUP(B27,'2015 SQL Output'!$A$3:$T$24,8,FALSE)</f>
        <v>11527</v>
      </c>
      <c r="AX27" s="118">
        <f>VLOOKUP(B27,'2015 SQL Output'!$A$3:$T$24,9,FALSE)</f>
        <v>10672</v>
      </c>
      <c r="AY27" s="118">
        <f>VLOOKUP(B27,'2015 SQL Output'!$A$3:$T$24,10,FALSE)</f>
        <v>11694</v>
      </c>
      <c r="AZ27" s="118">
        <f>VLOOKUP(B27,'2015 SQL Output'!$A$3:$T$24,11,FALSE)</f>
        <v>13180</v>
      </c>
      <c r="BA27" s="118">
        <f>VLOOKUP(B27,'2015 SQL Output'!$A$3:$T$24,12,FALSE)</f>
        <v>12802</v>
      </c>
      <c r="BB27" s="118">
        <f>VLOOKUP(B27,'2015 SQL Output'!$A$3:$T$24,13,FALSE)</f>
        <v>11305</v>
      </c>
      <c r="BC27" s="118">
        <f>VLOOKUP(B27,'2015 SQL Output'!$A$3:$T$24,14,FALSE)</f>
        <v>10483</v>
      </c>
      <c r="BD27" s="118">
        <f>VLOOKUP(B27,'2015 SQL Output'!$A$3:$T$24,15,FALSE)</f>
        <v>11050</v>
      </c>
      <c r="BE27" s="118">
        <f>VLOOKUP(B27,'2015 SQL Output'!$A$3:$T$24,16,FALSE)</f>
        <v>8344</v>
      </c>
      <c r="BF27" s="118">
        <f>VLOOKUP(B27,'2015 SQL Output'!$A$3:$T$24,17,FALSE)</f>
        <v>6232</v>
      </c>
      <c r="BG27" s="118">
        <f>VLOOKUP(B27,'2015 SQL Output'!$A$3:$T$24,18,FALSE)</f>
        <v>4284</v>
      </c>
      <c r="BH27" s="118">
        <f>VLOOKUP(B27,'2015 SQL Output'!$A$3:$T$24,19,FALSE)</f>
        <v>2267</v>
      </c>
      <c r="BI27" s="118">
        <f>VLOOKUP(B27,'2015 SQL Output'!$A$3:$T$24,20,FALSE)</f>
        <v>1204</v>
      </c>
      <c r="BJ27" s="13" t="s">
        <v>60</v>
      </c>
    </row>
    <row r="28" spans="1:62" s="8" customFormat="1">
      <c r="A28" s="13" t="s">
        <v>62</v>
      </c>
      <c r="B28" s="31" t="s">
        <v>63</v>
      </c>
      <c r="C28" s="118">
        <f>VLOOKUP(B28,'2015 SQL Output'!$A$29:$T$50,2,FALSE)</f>
        <v>2026</v>
      </c>
      <c r="D28" s="118">
        <f>VLOOKUP(B28,'2015 SQL Output'!$A$29:$T$50,3,FALSE)</f>
        <v>2005</v>
      </c>
      <c r="E28" s="118">
        <f>VLOOKUP(B28,'2015 SQL Output'!$A$29:$T$50,4,FALSE)</f>
        <v>1747</v>
      </c>
      <c r="F28" s="118">
        <f>VLOOKUP(B28,'2015 SQL Output'!$A$29:$T$50,5,FALSE)</f>
        <v>2041</v>
      </c>
      <c r="G28" s="118">
        <f>VLOOKUP(B28,'2015 SQL Output'!$A$29:$T$50,6,FALSE)</f>
        <v>2234</v>
      </c>
      <c r="H28" s="118">
        <f>VLOOKUP(B28,'2015 SQL Output'!$A$29:$T$50,7,FALSE)</f>
        <v>2302</v>
      </c>
      <c r="I28" s="118">
        <f>VLOOKUP(B28,'2015 SQL Output'!$A$29:$T$50,8,FALSE)</f>
        <v>2054</v>
      </c>
      <c r="J28" s="118">
        <f>VLOOKUP(B28,'2015 SQL Output'!$A$29:$T$50,9,FALSE)</f>
        <v>1913</v>
      </c>
      <c r="K28" s="118">
        <f>VLOOKUP(B28,'2015 SQL Output'!$A$29:$T$50,10,FALSE)</f>
        <v>2201</v>
      </c>
      <c r="L28" s="118">
        <f>VLOOKUP(B28,'2015 SQL Output'!$A$29:$T$50,11,FALSE)</f>
        <v>2589</v>
      </c>
      <c r="M28" s="118">
        <f>VLOOKUP(B28,'2015 SQL Output'!$A$29:$T$50,12,FALSE)</f>
        <v>2562</v>
      </c>
      <c r="N28" s="118">
        <f>VLOOKUP(B28,'2015 SQL Output'!$A$29:$T$50,13,FALSE)</f>
        <v>2222</v>
      </c>
      <c r="O28" s="118">
        <f>VLOOKUP(B28,'2015 SQL Output'!$A$29:$T$50,14,FALSE)</f>
        <v>2000</v>
      </c>
      <c r="P28" s="118">
        <f>VLOOKUP(B28,'2015 SQL Output'!$A$29:$T$50,15,FALSE)</f>
        <v>2160</v>
      </c>
      <c r="Q28" s="118">
        <f>VLOOKUP(B28,'2015 SQL Output'!$A$29:$T$50,16,FALSE)</f>
        <v>1676</v>
      </c>
      <c r="R28" s="118">
        <f>VLOOKUP(B28,'2015 SQL Output'!$A$29:$T$50,17,FALSE)</f>
        <v>1225</v>
      </c>
      <c r="S28" s="118">
        <f>VLOOKUP(B28,'2015 SQL Output'!$A$29:$T$50,18,FALSE)</f>
        <v>754</v>
      </c>
      <c r="T28" s="118">
        <f>VLOOKUP(B28,'2015 SQL Output'!$A$29:$T$50,19,FALSE)</f>
        <v>339</v>
      </c>
      <c r="U28" s="118">
        <f>VLOOKUP(B28,'2015 SQL Output'!$A$29:$T$50,20,FALSE)</f>
        <v>152</v>
      </c>
      <c r="V28" s="118" t="s">
        <v>62</v>
      </c>
      <c r="W28" s="118">
        <f>VLOOKUP(B28,'2015 SQL Output'!$A$53:$T$75,2,FALSE)</f>
        <v>1863</v>
      </c>
      <c r="X28" s="118">
        <f>VLOOKUP(B28,'2015 SQL Output'!$A$53:$T$75,3,FALSE)</f>
        <v>1959</v>
      </c>
      <c r="Y28" s="118">
        <f>VLOOKUP(B28,'2015 SQL Output'!$A$53:$T$75,4,FALSE)</f>
        <v>1718</v>
      </c>
      <c r="Z28" s="118">
        <f>VLOOKUP(B28,'2015 SQL Output'!$A$53:$T$75,5,FALSE)</f>
        <v>2058</v>
      </c>
      <c r="AA28" s="118">
        <f>VLOOKUP(B28,'2015 SQL Output'!$A$53:$T$75,6,FALSE)</f>
        <v>2282</v>
      </c>
      <c r="AB28" s="118">
        <f>VLOOKUP(B28,'2015 SQL Output'!$A$53:$T$75,7,FALSE)</f>
        <v>2444</v>
      </c>
      <c r="AC28" s="118">
        <f>VLOOKUP(B28,'2015 SQL Output'!$A$53:$T$75,8,FALSE)</f>
        <v>2111</v>
      </c>
      <c r="AD28" s="118">
        <f>VLOOKUP(B28,'2015 SQL Output'!$A$53:$T$75,9,FALSE)</f>
        <v>1929</v>
      </c>
      <c r="AE28" s="118">
        <f>VLOOKUP(B28,'2015 SQL Output'!$A$53:$T$75,10,FALSE)</f>
        <v>2154</v>
      </c>
      <c r="AF28" s="118">
        <f>VLOOKUP(B28,'2015 SQL Output'!$A$53:$T$75,11,FALSE)</f>
        <v>2789</v>
      </c>
      <c r="AG28" s="118">
        <f>VLOOKUP(B28,'2015 SQL Output'!$A$53:$T$75,12,FALSE)</f>
        <v>2532</v>
      </c>
      <c r="AH28" s="118">
        <f>VLOOKUP(B28,'2015 SQL Output'!$A$53:$T$75,13,FALSE)</f>
        <v>2252</v>
      </c>
      <c r="AI28" s="118">
        <f>VLOOKUP(B28,'2015 SQL Output'!$A$53:$T$75,14,FALSE)</f>
        <v>2005</v>
      </c>
      <c r="AJ28" s="118">
        <f>VLOOKUP(B28,'2015 SQL Output'!$A$53:$T$75,15,FALSE)</f>
        <v>2157</v>
      </c>
      <c r="AK28" s="118">
        <f>VLOOKUP(B28,'2015 SQL Output'!$A$53:$T$75,16,FALSE)</f>
        <v>1775</v>
      </c>
      <c r="AL28" s="118">
        <f>VLOOKUP(B28,'2015 SQL Output'!$A$53:$T$75,17,FALSE)</f>
        <v>1327</v>
      </c>
      <c r="AM28" s="118">
        <f>VLOOKUP(B28,'2015 SQL Output'!$A$53:$T$75,18,FALSE)</f>
        <v>963</v>
      </c>
      <c r="AN28" s="118">
        <f>VLOOKUP(B28,'2015 SQL Output'!$A$53:$T$75,19,FALSE)</f>
        <v>602</v>
      </c>
      <c r="AO28" s="118">
        <f>VLOOKUP(B28,'2015 SQL Output'!$A$53:$T$75,20,FALSE)</f>
        <v>422</v>
      </c>
      <c r="AP28" s="118" t="s">
        <v>62</v>
      </c>
      <c r="AQ28" s="118">
        <f>VLOOKUP(B28,'2015 SQL Output'!$A$3:$T$24,2,FALSE)</f>
        <v>3889</v>
      </c>
      <c r="AR28" s="118">
        <f>VLOOKUP(B28,'2015 SQL Output'!$A$3:$T$24,3,FALSE)</f>
        <v>3964</v>
      </c>
      <c r="AS28" s="118">
        <f>VLOOKUP(B28,'2015 SQL Output'!$A$3:$T$24,4,FALSE)</f>
        <v>3465</v>
      </c>
      <c r="AT28" s="118">
        <f>VLOOKUP(B28,'2015 SQL Output'!$A$3:$T$24,5,FALSE)</f>
        <v>4099</v>
      </c>
      <c r="AU28" s="118">
        <f>VLOOKUP(B28,'2015 SQL Output'!$A$3:$T$24,6,FALSE)</f>
        <v>4516</v>
      </c>
      <c r="AV28" s="118">
        <f>VLOOKUP(B28,'2015 SQL Output'!$A$3:$T$24,7,FALSE)</f>
        <v>4746</v>
      </c>
      <c r="AW28" s="118">
        <f>VLOOKUP(B28,'2015 SQL Output'!$A$3:$T$24,8,FALSE)</f>
        <v>4165</v>
      </c>
      <c r="AX28" s="118">
        <f>VLOOKUP(B28,'2015 SQL Output'!$A$3:$T$24,9,FALSE)</f>
        <v>3842</v>
      </c>
      <c r="AY28" s="118">
        <f>VLOOKUP(B28,'2015 SQL Output'!$A$3:$T$24,10,FALSE)</f>
        <v>4355</v>
      </c>
      <c r="AZ28" s="118">
        <f>VLOOKUP(B28,'2015 SQL Output'!$A$3:$T$24,11,FALSE)</f>
        <v>5378</v>
      </c>
      <c r="BA28" s="118">
        <f>VLOOKUP(B28,'2015 SQL Output'!$A$3:$T$24,12,FALSE)</f>
        <v>5094</v>
      </c>
      <c r="BB28" s="118">
        <f>VLOOKUP(B28,'2015 SQL Output'!$A$3:$T$24,13,FALSE)</f>
        <v>4474</v>
      </c>
      <c r="BC28" s="118">
        <f>VLOOKUP(B28,'2015 SQL Output'!$A$3:$T$24,14,FALSE)</f>
        <v>4005</v>
      </c>
      <c r="BD28" s="118">
        <f>VLOOKUP(B28,'2015 SQL Output'!$A$3:$T$24,15,FALSE)</f>
        <v>4317</v>
      </c>
      <c r="BE28" s="118">
        <f>VLOOKUP(B28,'2015 SQL Output'!$A$3:$T$24,16,FALSE)</f>
        <v>3451</v>
      </c>
      <c r="BF28" s="118">
        <f>VLOOKUP(B28,'2015 SQL Output'!$A$3:$T$24,17,FALSE)</f>
        <v>2552</v>
      </c>
      <c r="BG28" s="118">
        <f>VLOOKUP(B28,'2015 SQL Output'!$A$3:$T$24,18,FALSE)</f>
        <v>1717</v>
      </c>
      <c r="BH28" s="118">
        <f>VLOOKUP(B28,'2015 SQL Output'!$A$3:$T$24,19,FALSE)</f>
        <v>941</v>
      </c>
      <c r="BI28" s="118">
        <f>VLOOKUP(B28,'2015 SQL Output'!$A$3:$T$24,20,FALSE)</f>
        <v>574</v>
      </c>
      <c r="BJ28" s="13" t="s">
        <v>62</v>
      </c>
    </row>
    <row r="29" spans="1:62" s="8" customFormat="1">
      <c r="A29" s="13" t="s">
        <v>64</v>
      </c>
      <c r="B29" s="31" t="s">
        <v>65</v>
      </c>
      <c r="C29" s="118">
        <f>VLOOKUP(B29,'2015 SQL Output'!$A$29:$T$50,2,FALSE)</f>
        <v>2756</v>
      </c>
      <c r="D29" s="118">
        <f>VLOOKUP(B29,'2015 SQL Output'!$A$29:$T$50,3,FALSE)</f>
        <v>2846</v>
      </c>
      <c r="E29" s="118">
        <f>VLOOKUP(B29,'2015 SQL Output'!$A$29:$T$50,4,FALSE)</f>
        <v>2524</v>
      </c>
      <c r="F29" s="118">
        <f>VLOOKUP(B29,'2015 SQL Output'!$A$29:$T$50,5,FALSE)</f>
        <v>2838</v>
      </c>
      <c r="G29" s="118">
        <f>VLOOKUP(B29,'2015 SQL Output'!$A$29:$T$50,6,FALSE)</f>
        <v>2850</v>
      </c>
      <c r="H29" s="118">
        <f>VLOOKUP(B29,'2015 SQL Output'!$A$29:$T$50,7,FALSE)</f>
        <v>2847</v>
      </c>
      <c r="I29" s="118">
        <f>VLOOKUP(B29,'2015 SQL Output'!$A$29:$T$50,8,FALSE)</f>
        <v>2656</v>
      </c>
      <c r="J29" s="118">
        <f>VLOOKUP(B29,'2015 SQL Output'!$A$29:$T$50,9,FALSE)</f>
        <v>2406</v>
      </c>
      <c r="K29" s="118">
        <f>VLOOKUP(B29,'2015 SQL Output'!$A$29:$T$50,10,FALSE)</f>
        <v>2686</v>
      </c>
      <c r="L29" s="118">
        <f>VLOOKUP(B29,'2015 SQL Output'!$A$29:$T$50,11,FALSE)</f>
        <v>3175</v>
      </c>
      <c r="M29" s="118">
        <f>VLOOKUP(B29,'2015 SQL Output'!$A$29:$T$50,12,FALSE)</f>
        <v>3383</v>
      </c>
      <c r="N29" s="118">
        <f>VLOOKUP(B29,'2015 SQL Output'!$A$29:$T$50,13,FALSE)</f>
        <v>2939</v>
      </c>
      <c r="O29" s="118">
        <f>VLOOKUP(B29,'2015 SQL Output'!$A$29:$T$50,14,FALSE)</f>
        <v>2694</v>
      </c>
      <c r="P29" s="118">
        <f>VLOOKUP(B29,'2015 SQL Output'!$A$29:$T$50,15,FALSE)</f>
        <v>2764</v>
      </c>
      <c r="Q29" s="118">
        <f>VLOOKUP(B29,'2015 SQL Output'!$A$29:$T$50,16,FALSE)</f>
        <v>2090</v>
      </c>
      <c r="R29" s="118">
        <f>VLOOKUP(B29,'2015 SQL Output'!$A$29:$T$50,17,FALSE)</f>
        <v>1491</v>
      </c>
      <c r="S29" s="118">
        <f>VLOOKUP(B29,'2015 SQL Output'!$A$29:$T$50,18,FALSE)</f>
        <v>1050</v>
      </c>
      <c r="T29" s="118">
        <f>VLOOKUP(B29,'2015 SQL Output'!$A$29:$T$50,19,FALSE)</f>
        <v>546</v>
      </c>
      <c r="U29" s="118">
        <f>VLOOKUP(B29,'2015 SQL Output'!$A$29:$T$50,20,FALSE)</f>
        <v>246</v>
      </c>
      <c r="V29" s="118" t="s">
        <v>64</v>
      </c>
      <c r="W29" s="118">
        <f>VLOOKUP(B29,'2015 SQL Output'!$A$53:$T$75,2,FALSE)</f>
        <v>2592</v>
      </c>
      <c r="X29" s="118">
        <f>VLOOKUP(B29,'2015 SQL Output'!$A$53:$T$75,3,FALSE)</f>
        <v>2677</v>
      </c>
      <c r="Y29" s="118">
        <f>VLOOKUP(B29,'2015 SQL Output'!$A$53:$T$75,4,FALSE)</f>
        <v>2402</v>
      </c>
      <c r="Z29" s="118">
        <f>VLOOKUP(B29,'2015 SQL Output'!$A$53:$T$75,5,FALSE)</f>
        <v>2717</v>
      </c>
      <c r="AA29" s="118">
        <f>VLOOKUP(B29,'2015 SQL Output'!$A$53:$T$75,6,FALSE)</f>
        <v>2804</v>
      </c>
      <c r="AB29" s="118">
        <f>VLOOKUP(B29,'2015 SQL Output'!$A$53:$T$75,7,FALSE)</f>
        <v>3061</v>
      </c>
      <c r="AC29" s="118">
        <f>VLOOKUP(B29,'2015 SQL Output'!$A$53:$T$75,8,FALSE)</f>
        <v>2820</v>
      </c>
      <c r="AD29" s="118">
        <f>VLOOKUP(B29,'2015 SQL Output'!$A$53:$T$75,9,FALSE)</f>
        <v>2637</v>
      </c>
      <c r="AE29" s="118">
        <f>VLOOKUP(B29,'2015 SQL Output'!$A$53:$T$75,10,FALSE)</f>
        <v>2789</v>
      </c>
      <c r="AF29" s="118">
        <f>VLOOKUP(B29,'2015 SQL Output'!$A$53:$T$75,11,FALSE)</f>
        <v>3373</v>
      </c>
      <c r="AG29" s="118">
        <f>VLOOKUP(B29,'2015 SQL Output'!$A$53:$T$75,12,FALSE)</f>
        <v>3428</v>
      </c>
      <c r="AH29" s="118">
        <f>VLOOKUP(B29,'2015 SQL Output'!$A$53:$T$75,13,FALSE)</f>
        <v>3006</v>
      </c>
      <c r="AI29" s="118">
        <f>VLOOKUP(B29,'2015 SQL Output'!$A$53:$T$75,14,FALSE)</f>
        <v>2823</v>
      </c>
      <c r="AJ29" s="118">
        <f>VLOOKUP(B29,'2015 SQL Output'!$A$53:$T$75,15,FALSE)</f>
        <v>2888</v>
      </c>
      <c r="AK29" s="118">
        <f>VLOOKUP(B29,'2015 SQL Output'!$A$53:$T$75,16,FALSE)</f>
        <v>2278</v>
      </c>
      <c r="AL29" s="118">
        <f>VLOOKUP(B29,'2015 SQL Output'!$A$53:$T$75,17,FALSE)</f>
        <v>1806</v>
      </c>
      <c r="AM29" s="118">
        <f>VLOOKUP(B29,'2015 SQL Output'!$A$53:$T$75,18,FALSE)</f>
        <v>1451</v>
      </c>
      <c r="AN29" s="118">
        <f>VLOOKUP(B29,'2015 SQL Output'!$A$53:$T$75,19,FALSE)</f>
        <v>877</v>
      </c>
      <c r="AO29" s="118">
        <f>VLOOKUP(B29,'2015 SQL Output'!$A$53:$T$75,20,FALSE)</f>
        <v>620</v>
      </c>
      <c r="AP29" s="118" t="s">
        <v>64</v>
      </c>
      <c r="AQ29" s="118">
        <f>VLOOKUP(B29,'2015 SQL Output'!$A$3:$T$24,2,FALSE)</f>
        <v>5348</v>
      </c>
      <c r="AR29" s="118">
        <f>VLOOKUP(B29,'2015 SQL Output'!$A$3:$T$24,3,FALSE)</f>
        <v>5523</v>
      </c>
      <c r="AS29" s="118">
        <f>VLOOKUP(B29,'2015 SQL Output'!$A$3:$T$24,4,FALSE)</f>
        <v>4926</v>
      </c>
      <c r="AT29" s="118">
        <f>VLOOKUP(B29,'2015 SQL Output'!$A$3:$T$24,5,FALSE)</f>
        <v>5555</v>
      </c>
      <c r="AU29" s="118">
        <f>VLOOKUP(B29,'2015 SQL Output'!$A$3:$T$24,6,FALSE)</f>
        <v>5654</v>
      </c>
      <c r="AV29" s="118">
        <f>VLOOKUP(B29,'2015 SQL Output'!$A$3:$T$24,7,FALSE)</f>
        <v>5908</v>
      </c>
      <c r="AW29" s="118">
        <f>VLOOKUP(B29,'2015 SQL Output'!$A$3:$T$24,8,FALSE)</f>
        <v>5476</v>
      </c>
      <c r="AX29" s="118">
        <f>VLOOKUP(B29,'2015 SQL Output'!$A$3:$T$24,9,FALSE)</f>
        <v>5043</v>
      </c>
      <c r="AY29" s="118">
        <f>VLOOKUP(B29,'2015 SQL Output'!$A$3:$T$24,10,FALSE)</f>
        <v>5475</v>
      </c>
      <c r="AZ29" s="118">
        <f>VLOOKUP(B29,'2015 SQL Output'!$A$3:$T$24,11,FALSE)</f>
        <v>6548</v>
      </c>
      <c r="BA29" s="118">
        <f>VLOOKUP(B29,'2015 SQL Output'!$A$3:$T$24,12,FALSE)</f>
        <v>6811</v>
      </c>
      <c r="BB29" s="118">
        <f>VLOOKUP(B29,'2015 SQL Output'!$A$3:$T$24,13,FALSE)</f>
        <v>5945</v>
      </c>
      <c r="BC29" s="118">
        <f>VLOOKUP(B29,'2015 SQL Output'!$A$3:$T$24,14,FALSE)</f>
        <v>5517</v>
      </c>
      <c r="BD29" s="118">
        <f>VLOOKUP(B29,'2015 SQL Output'!$A$3:$T$24,15,FALSE)</f>
        <v>5652</v>
      </c>
      <c r="BE29" s="118">
        <f>VLOOKUP(B29,'2015 SQL Output'!$A$3:$T$24,16,FALSE)</f>
        <v>4368</v>
      </c>
      <c r="BF29" s="118">
        <f>VLOOKUP(B29,'2015 SQL Output'!$A$3:$T$24,17,FALSE)</f>
        <v>3297</v>
      </c>
      <c r="BG29" s="118">
        <f>VLOOKUP(B29,'2015 SQL Output'!$A$3:$T$24,18,FALSE)</f>
        <v>2501</v>
      </c>
      <c r="BH29" s="118">
        <f>VLOOKUP(B29,'2015 SQL Output'!$A$3:$T$24,19,FALSE)</f>
        <v>1423</v>
      </c>
      <c r="BI29" s="118">
        <f>VLOOKUP(B29,'2015 SQL Output'!$A$3:$T$24,20,FALSE)</f>
        <v>866</v>
      </c>
      <c r="BJ29" s="13" t="s">
        <v>64</v>
      </c>
    </row>
    <row r="30" spans="1:62" s="8" customFormat="1">
      <c r="A30" s="13" t="s">
        <v>66</v>
      </c>
      <c r="B30" s="31" t="s">
        <v>67</v>
      </c>
      <c r="C30" s="118">
        <f>VLOOKUP(B30,'2015 SQL Output'!$A$29:$T$50,2,FALSE)</f>
        <v>2243</v>
      </c>
      <c r="D30" s="118">
        <f>VLOOKUP(B30,'2015 SQL Output'!$A$29:$T$50,3,FALSE)</f>
        <v>2476</v>
      </c>
      <c r="E30" s="118">
        <f>VLOOKUP(B30,'2015 SQL Output'!$A$29:$T$50,4,FALSE)</f>
        <v>2659</v>
      </c>
      <c r="F30" s="118">
        <f>VLOOKUP(B30,'2015 SQL Output'!$A$29:$T$50,5,FALSE)</f>
        <v>2826</v>
      </c>
      <c r="G30" s="118">
        <f>VLOOKUP(B30,'2015 SQL Output'!$A$29:$T$50,6,FALSE)</f>
        <v>2424</v>
      </c>
      <c r="H30" s="118">
        <f>VLOOKUP(B30,'2015 SQL Output'!$A$29:$T$50,7,FALSE)</f>
        <v>2274</v>
      </c>
      <c r="I30" s="118">
        <f>VLOOKUP(B30,'2015 SQL Output'!$A$29:$T$50,8,FALSE)</f>
        <v>1972</v>
      </c>
      <c r="J30" s="118">
        <f>VLOOKUP(B30,'2015 SQL Output'!$A$29:$T$50,9,FALSE)</f>
        <v>2074</v>
      </c>
      <c r="K30" s="118">
        <f>VLOOKUP(B30,'2015 SQL Output'!$A$29:$T$50,10,FALSE)</f>
        <v>2690</v>
      </c>
      <c r="L30" s="118">
        <f>VLOOKUP(B30,'2015 SQL Output'!$A$29:$T$50,11,FALSE)</f>
        <v>3620</v>
      </c>
      <c r="M30" s="118">
        <f>VLOOKUP(B30,'2015 SQL Output'!$A$29:$T$50,12,FALSE)</f>
        <v>3793</v>
      </c>
      <c r="N30" s="118">
        <f>VLOOKUP(B30,'2015 SQL Output'!$A$29:$T$50,13,FALSE)</f>
        <v>3192</v>
      </c>
      <c r="O30" s="118">
        <f>VLOOKUP(B30,'2015 SQL Output'!$A$29:$T$50,14,FALSE)</f>
        <v>3126</v>
      </c>
      <c r="P30" s="118">
        <f>VLOOKUP(B30,'2015 SQL Output'!$A$29:$T$50,15,FALSE)</f>
        <v>3324</v>
      </c>
      <c r="Q30" s="118">
        <f>VLOOKUP(B30,'2015 SQL Output'!$A$29:$T$50,16,FALSE)</f>
        <v>2554</v>
      </c>
      <c r="R30" s="118">
        <f>VLOOKUP(B30,'2015 SQL Output'!$A$29:$T$50,17,FALSE)</f>
        <v>1835</v>
      </c>
      <c r="S30" s="118">
        <f>VLOOKUP(B30,'2015 SQL Output'!$A$29:$T$50,18,FALSE)</f>
        <v>1430</v>
      </c>
      <c r="T30" s="118">
        <f>VLOOKUP(B30,'2015 SQL Output'!$A$29:$T$50,19,FALSE)</f>
        <v>671</v>
      </c>
      <c r="U30" s="118">
        <f>VLOOKUP(B30,'2015 SQL Output'!$A$29:$T$50,20,FALSE)</f>
        <v>314</v>
      </c>
      <c r="V30" s="118" t="s">
        <v>66</v>
      </c>
      <c r="W30" s="118">
        <f>VLOOKUP(B30,'2015 SQL Output'!$A$53:$T$75,2,FALSE)</f>
        <v>2111</v>
      </c>
      <c r="X30" s="118">
        <f>VLOOKUP(B30,'2015 SQL Output'!$A$53:$T$75,3,FALSE)</f>
        <v>2447</v>
      </c>
      <c r="Y30" s="118">
        <f>VLOOKUP(B30,'2015 SQL Output'!$A$53:$T$75,4,FALSE)</f>
        <v>2446</v>
      </c>
      <c r="Z30" s="118">
        <f>VLOOKUP(B30,'2015 SQL Output'!$A$53:$T$75,5,FALSE)</f>
        <v>2638</v>
      </c>
      <c r="AA30" s="118">
        <f>VLOOKUP(B30,'2015 SQL Output'!$A$53:$T$75,6,FALSE)</f>
        <v>2004</v>
      </c>
      <c r="AB30" s="118">
        <f>VLOOKUP(B30,'2015 SQL Output'!$A$53:$T$75,7,FALSE)</f>
        <v>2013</v>
      </c>
      <c r="AC30" s="118">
        <f>VLOOKUP(B30,'2015 SQL Output'!$A$53:$T$75,8,FALSE)</f>
        <v>2034</v>
      </c>
      <c r="AD30" s="118">
        <f>VLOOKUP(B30,'2015 SQL Output'!$A$53:$T$75,9,FALSE)</f>
        <v>2324</v>
      </c>
      <c r="AE30" s="118">
        <f>VLOOKUP(B30,'2015 SQL Output'!$A$53:$T$75,10,FALSE)</f>
        <v>2991</v>
      </c>
      <c r="AF30" s="118">
        <f>VLOOKUP(B30,'2015 SQL Output'!$A$53:$T$75,11,FALSE)</f>
        <v>3709</v>
      </c>
      <c r="AG30" s="118">
        <f>VLOOKUP(B30,'2015 SQL Output'!$A$53:$T$75,12,FALSE)</f>
        <v>3921</v>
      </c>
      <c r="AH30" s="118">
        <f>VLOOKUP(B30,'2015 SQL Output'!$A$53:$T$75,13,FALSE)</f>
        <v>3302</v>
      </c>
      <c r="AI30" s="118">
        <f>VLOOKUP(B30,'2015 SQL Output'!$A$53:$T$75,14,FALSE)</f>
        <v>3296</v>
      </c>
      <c r="AJ30" s="118">
        <f>VLOOKUP(B30,'2015 SQL Output'!$A$53:$T$75,15,FALSE)</f>
        <v>3451</v>
      </c>
      <c r="AK30" s="118">
        <f>VLOOKUP(B30,'2015 SQL Output'!$A$53:$T$75,16,FALSE)</f>
        <v>2721</v>
      </c>
      <c r="AL30" s="118">
        <f>VLOOKUP(B30,'2015 SQL Output'!$A$53:$T$75,17,FALSE)</f>
        <v>2080</v>
      </c>
      <c r="AM30" s="118">
        <f>VLOOKUP(B30,'2015 SQL Output'!$A$53:$T$75,18,FALSE)</f>
        <v>1606</v>
      </c>
      <c r="AN30" s="118">
        <f>VLOOKUP(B30,'2015 SQL Output'!$A$53:$T$75,19,FALSE)</f>
        <v>1093</v>
      </c>
      <c r="AO30" s="118">
        <f>VLOOKUP(B30,'2015 SQL Output'!$A$53:$T$75,20,FALSE)</f>
        <v>792</v>
      </c>
      <c r="AP30" s="118" t="s">
        <v>66</v>
      </c>
      <c r="AQ30" s="118">
        <f>VLOOKUP(B30,'2015 SQL Output'!$A$3:$T$24,2,FALSE)</f>
        <v>4354</v>
      </c>
      <c r="AR30" s="118">
        <f>VLOOKUP(B30,'2015 SQL Output'!$A$3:$T$24,3,FALSE)</f>
        <v>4923</v>
      </c>
      <c r="AS30" s="118">
        <f>VLOOKUP(B30,'2015 SQL Output'!$A$3:$T$24,4,FALSE)</f>
        <v>5105</v>
      </c>
      <c r="AT30" s="118">
        <f>VLOOKUP(B30,'2015 SQL Output'!$A$3:$T$24,5,FALSE)</f>
        <v>5464</v>
      </c>
      <c r="AU30" s="118">
        <f>VLOOKUP(B30,'2015 SQL Output'!$A$3:$T$24,6,FALSE)</f>
        <v>4428</v>
      </c>
      <c r="AV30" s="118">
        <f>VLOOKUP(B30,'2015 SQL Output'!$A$3:$T$24,7,FALSE)</f>
        <v>4287</v>
      </c>
      <c r="AW30" s="118">
        <f>VLOOKUP(B30,'2015 SQL Output'!$A$3:$T$24,8,FALSE)</f>
        <v>4006</v>
      </c>
      <c r="AX30" s="118">
        <f>VLOOKUP(B30,'2015 SQL Output'!$A$3:$T$24,9,FALSE)</f>
        <v>4398</v>
      </c>
      <c r="AY30" s="118">
        <f>VLOOKUP(B30,'2015 SQL Output'!$A$3:$T$24,10,FALSE)</f>
        <v>5681</v>
      </c>
      <c r="AZ30" s="118">
        <f>VLOOKUP(B30,'2015 SQL Output'!$A$3:$T$24,11,FALSE)</f>
        <v>7329</v>
      </c>
      <c r="BA30" s="118">
        <f>VLOOKUP(B30,'2015 SQL Output'!$A$3:$T$24,12,FALSE)</f>
        <v>7714</v>
      </c>
      <c r="BB30" s="118">
        <f>VLOOKUP(B30,'2015 SQL Output'!$A$3:$T$24,13,FALSE)</f>
        <v>6494</v>
      </c>
      <c r="BC30" s="118">
        <f>VLOOKUP(B30,'2015 SQL Output'!$A$3:$T$24,14,FALSE)</f>
        <v>6422</v>
      </c>
      <c r="BD30" s="118">
        <f>VLOOKUP(B30,'2015 SQL Output'!$A$3:$T$24,15,FALSE)</f>
        <v>6775</v>
      </c>
      <c r="BE30" s="118">
        <f>VLOOKUP(B30,'2015 SQL Output'!$A$3:$T$24,16,FALSE)</f>
        <v>5275</v>
      </c>
      <c r="BF30" s="118">
        <f>VLOOKUP(B30,'2015 SQL Output'!$A$3:$T$24,17,FALSE)</f>
        <v>3915</v>
      </c>
      <c r="BG30" s="118">
        <f>VLOOKUP(B30,'2015 SQL Output'!$A$3:$T$24,18,FALSE)</f>
        <v>3036</v>
      </c>
      <c r="BH30" s="118">
        <f>VLOOKUP(B30,'2015 SQL Output'!$A$3:$T$24,19,FALSE)</f>
        <v>1764</v>
      </c>
      <c r="BI30" s="118">
        <f>VLOOKUP(B30,'2015 SQL Output'!$A$3:$T$24,20,FALSE)</f>
        <v>1106</v>
      </c>
      <c r="BJ30" s="13" t="s">
        <v>66</v>
      </c>
    </row>
    <row r="31" spans="1:62" s="8" customFormat="1">
      <c r="A31" s="13" t="s">
        <v>68</v>
      </c>
      <c r="B31" s="31" t="s">
        <v>69</v>
      </c>
      <c r="C31" s="118">
        <f>VLOOKUP(B31,'2015 SQL Output'!$A$29:$T$50,2,FALSE)</f>
        <v>4985</v>
      </c>
      <c r="D31" s="118">
        <f>VLOOKUP(B31,'2015 SQL Output'!$A$29:$T$50,3,FALSE)</f>
        <v>4866</v>
      </c>
      <c r="E31" s="118">
        <f>VLOOKUP(B31,'2015 SQL Output'!$A$29:$T$50,4,FALSE)</f>
        <v>4373</v>
      </c>
      <c r="F31" s="118">
        <f>VLOOKUP(B31,'2015 SQL Output'!$A$29:$T$50,5,FALSE)</f>
        <v>4812</v>
      </c>
      <c r="G31" s="118">
        <f>VLOOKUP(B31,'2015 SQL Output'!$A$29:$T$50,6,FALSE)</f>
        <v>4843</v>
      </c>
      <c r="H31" s="118">
        <f>VLOOKUP(B31,'2015 SQL Output'!$A$29:$T$50,7,FALSE)</f>
        <v>4859</v>
      </c>
      <c r="I31" s="118">
        <f>VLOOKUP(B31,'2015 SQL Output'!$A$29:$T$50,8,FALSE)</f>
        <v>4620</v>
      </c>
      <c r="J31" s="118">
        <f>VLOOKUP(B31,'2015 SQL Output'!$A$29:$T$50,9,FALSE)</f>
        <v>4540</v>
      </c>
      <c r="K31" s="118">
        <f>VLOOKUP(B31,'2015 SQL Output'!$A$29:$T$50,10,FALSE)</f>
        <v>4519</v>
      </c>
      <c r="L31" s="118">
        <f>VLOOKUP(B31,'2015 SQL Output'!$A$29:$T$50,11,FALSE)</f>
        <v>5197</v>
      </c>
      <c r="M31" s="118">
        <f>VLOOKUP(B31,'2015 SQL Output'!$A$29:$T$50,12,FALSE)</f>
        <v>5093</v>
      </c>
      <c r="N31" s="118">
        <f>VLOOKUP(B31,'2015 SQL Output'!$A$29:$T$50,13,FALSE)</f>
        <v>4433</v>
      </c>
      <c r="O31" s="118">
        <f>VLOOKUP(B31,'2015 SQL Output'!$A$29:$T$50,14,FALSE)</f>
        <v>3694</v>
      </c>
      <c r="P31" s="118">
        <f>VLOOKUP(B31,'2015 SQL Output'!$A$29:$T$50,15,FALSE)</f>
        <v>3841</v>
      </c>
      <c r="Q31" s="118">
        <f>VLOOKUP(B31,'2015 SQL Output'!$A$29:$T$50,16,FALSE)</f>
        <v>2849</v>
      </c>
      <c r="R31" s="118">
        <f>VLOOKUP(B31,'2015 SQL Output'!$A$29:$T$50,17,FALSE)</f>
        <v>2312</v>
      </c>
      <c r="S31" s="118">
        <f>VLOOKUP(B31,'2015 SQL Output'!$A$29:$T$50,18,FALSE)</f>
        <v>1508</v>
      </c>
      <c r="T31" s="118">
        <f>VLOOKUP(B31,'2015 SQL Output'!$A$29:$T$50,19,FALSE)</f>
        <v>784</v>
      </c>
      <c r="U31" s="118">
        <f>VLOOKUP(B31,'2015 SQL Output'!$A$29:$T$50,20,FALSE)</f>
        <v>341</v>
      </c>
      <c r="V31" s="118" t="s">
        <v>68</v>
      </c>
      <c r="W31" s="118">
        <f>VLOOKUP(B31,'2015 SQL Output'!$A$53:$T$75,2,FALSE)</f>
        <v>4780</v>
      </c>
      <c r="X31" s="118">
        <f>VLOOKUP(B31,'2015 SQL Output'!$A$53:$T$75,3,FALSE)</f>
        <v>4633</v>
      </c>
      <c r="Y31" s="118">
        <f>VLOOKUP(B31,'2015 SQL Output'!$A$53:$T$75,4,FALSE)</f>
        <v>4254</v>
      </c>
      <c r="Z31" s="118">
        <f>VLOOKUP(B31,'2015 SQL Output'!$A$53:$T$75,5,FALSE)</f>
        <v>4460</v>
      </c>
      <c r="AA31" s="118">
        <f>VLOOKUP(B31,'2015 SQL Output'!$A$53:$T$75,6,FALSE)</f>
        <v>4833</v>
      </c>
      <c r="AB31" s="118">
        <f>VLOOKUP(B31,'2015 SQL Output'!$A$53:$T$75,7,FALSE)</f>
        <v>5047</v>
      </c>
      <c r="AC31" s="118">
        <f>VLOOKUP(B31,'2015 SQL Output'!$A$53:$T$75,8,FALSE)</f>
        <v>5063</v>
      </c>
      <c r="AD31" s="118">
        <f>VLOOKUP(B31,'2015 SQL Output'!$A$53:$T$75,9,FALSE)</f>
        <v>4452</v>
      </c>
      <c r="AE31" s="118">
        <f>VLOOKUP(B31,'2015 SQL Output'!$A$53:$T$75,10,FALSE)</f>
        <v>4636</v>
      </c>
      <c r="AF31" s="118">
        <f>VLOOKUP(B31,'2015 SQL Output'!$A$53:$T$75,11,FALSE)</f>
        <v>5494</v>
      </c>
      <c r="AG31" s="118">
        <f>VLOOKUP(B31,'2015 SQL Output'!$A$53:$T$75,12,FALSE)</f>
        <v>5256</v>
      </c>
      <c r="AH31" s="118">
        <f>VLOOKUP(B31,'2015 SQL Output'!$A$53:$T$75,13,FALSE)</f>
        <v>4473</v>
      </c>
      <c r="AI31" s="118">
        <f>VLOOKUP(B31,'2015 SQL Output'!$A$53:$T$75,14,FALSE)</f>
        <v>3746</v>
      </c>
      <c r="AJ31" s="118">
        <f>VLOOKUP(B31,'2015 SQL Output'!$A$53:$T$75,15,FALSE)</f>
        <v>4123</v>
      </c>
      <c r="AK31" s="118">
        <f>VLOOKUP(B31,'2015 SQL Output'!$A$53:$T$75,16,FALSE)</f>
        <v>3249</v>
      </c>
      <c r="AL31" s="118">
        <f>VLOOKUP(B31,'2015 SQL Output'!$A$53:$T$75,17,FALSE)</f>
        <v>2675</v>
      </c>
      <c r="AM31" s="118">
        <f>VLOOKUP(B31,'2015 SQL Output'!$A$53:$T$75,18,FALSE)</f>
        <v>2021</v>
      </c>
      <c r="AN31" s="118">
        <f>VLOOKUP(B31,'2015 SQL Output'!$A$53:$T$75,19,FALSE)</f>
        <v>1244</v>
      </c>
      <c r="AO31" s="118">
        <f>VLOOKUP(B31,'2015 SQL Output'!$A$53:$T$75,20,FALSE)</f>
        <v>861</v>
      </c>
      <c r="AP31" s="118" t="s">
        <v>68</v>
      </c>
      <c r="AQ31" s="118">
        <f>VLOOKUP(B31,'2015 SQL Output'!$A$3:$T$24,2,FALSE)</f>
        <v>9765</v>
      </c>
      <c r="AR31" s="118">
        <f>VLOOKUP(B31,'2015 SQL Output'!$A$3:$T$24,3,FALSE)</f>
        <v>9499</v>
      </c>
      <c r="AS31" s="118">
        <f>VLOOKUP(B31,'2015 SQL Output'!$A$3:$T$24,4,FALSE)</f>
        <v>8627</v>
      </c>
      <c r="AT31" s="118">
        <f>VLOOKUP(B31,'2015 SQL Output'!$A$3:$T$24,5,FALSE)</f>
        <v>9272</v>
      </c>
      <c r="AU31" s="118">
        <f>VLOOKUP(B31,'2015 SQL Output'!$A$3:$T$24,6,FALSE)</f>
        <v>9676</v>
      </c>
      <c r="AV31" s="118">
        <f>VLOOKUP(B31,'2015 SQL Output'!$A$3:$T$24,7,FALSE)</f>
        <v>9906</v>
      </c>
      <c r="AW31" s="118">
        <f>VLOOKUP(B31,'2015 SQL Output'!$A$3:$T$24,8,FALSE)</f>
        <v>9683</v>
      </c>
      <c r="AX31" s="118">
        <f>VLOOKUP(B31,'2015 SQL Output'!$A$3:$T$24,9,FALSE)</f>
        <v>8992</v>
      </c>
      <c r="AY31" s="118">
        <f>VLOOKUP(B31,'2015 SQL Output'!$A$3:$T$24,10,FALSE)</f>
        <v>9155</v>
      </c>
      <c r="AZ31" s="118">
        <f>VLOOKUP(B31,'2015 SQL Output'!$A$3:$T$24,11,FALSE)</f>
        <v>10691</v>
      </c>
      <c r="BA31" s="118">
        <f>VLOOKUP(B31,'2015 SQL Output'!$A$3:$T$24,12,FALSE)</f>
        <v>10349</v>
      </c>
      <c r="BB31" s="118">
        <f>VLOOKUP(B31,'2015 SQL Output'!$A$3:$T$24,13,FALSE)</f>
        <v>8906</v>
      </c>
      <c r="BC31" s="118">
        <f>VLOOKUP(B31,'2015 SQL Output'!$A$3:$T$24,14,FALSE)</f>
        <v>7440</v>
      </c>
      <c r="BD31" s="118">
        <f>VLOOKUP(B31,'2015 SQL Output'!$A$3:$T$24,15,FALSE)</f>
        <v>7964</v>
      </c>
      <c r="BE31" s="118">
        <f>VLOOKUP(B31,'2015 SQL Output'!$A$3:$T$24,16,FALSE)</f>
        <v>6098</v>
      </c>
      <c r="BF31" s="118">
        <f>VLOOKUP(B31,'2015 SQL Output'!$A$3:$T$24,17,FALSE)</f>
        <v>4987</v>
      </c>
      <c r="BG31" s="118">
        <f>VLOOKUP(B31,'2015 SQL Output'!$A$3:$T$24,18,FALSE)</f>
        <v>3529</v>
      </c>
      <c r="BH31" s="118">
        <f>VLOOKUP(B31,'2015 SQL Output'!$A$3:$T$24,19,FALSE)</f>
        <v>2028</v>
      </c>
      <c r="BI31" s="118">
        <f>VLOOKUP(B31,'2015 SQL Output'!$A$3:$T$24,20,FALSE)</f>
        <v>1202</v>
      </c>
      <c r="BJ31" s="13" t="s">
        <v>68</v>
      </c>
    </row>
    <row r="34" s="32" customFormat="1"/>
    <row r="35" s="32" customFormat="1"/>
    <row r="36" s="32" customFormat="1"/>
    <row r="37" s="32" customFormat="1"/>
    <row r="38" s="32" customFormat="1"/>
    <row r="39" s="32" customFormat="1"/>
    <row r="40" s="32" customFormat="1"/>
    <row r="41" s="32" customFormat="1"/>
    <row r="42" s="32" customFormat="1"/>
    <row r="43" s="32" customFormat="1"/>
    <row r="44" s="32" customFormat="1"/>
    <row r="45" s="32" customFormat="1"/>
    <row r="46" s="32" customFormat="1"/>
    <row r="47" s="32" customFormat="1"/>
    <row r="48" s="32" customFormat="1"/>
    <row r="49" s="32" customFormat="1"/>
    <row r="50" s="32" customFormat="1"/>
    <row r="51" s="32" customFormat="1"/>
    <row r="52" s="32" customFormat="1"/>
    <row r="53" s="32" customFormat="1"/>
    <row r="54" s="32" customFormat="1"/>
    <row r="55" s="32" customFormat="1"/>
    <row r="56" s="32" customFormat="1"/>
    <row r="57" s="32" customFormat="1"/>
    <row r="58" s="32" customFormat="1"/>
    <row r="59" s="32" customFormat="1"/>
    <row r="60" s="32" customFormat="1"/>
    <row r="61" s="32" customFormat="1"/>
    <row r="62" s="32" customFormat="1"/>
    <row r="63" s="32" customFormat="1"/>
    <row r="64" s="32" customFormat="1"/>
    <row r="65" s="32" customFormat="1"/>
    <row r="66" s="32" customFormat="1"/>
    <row r="67" s="32" customFormat="1"/>
    <row r="68" s="32" customFormat="1"/>
    <row r="69" s="32" customFormat="1"/>
    <row r="70" s="32" customFormat="1"/>
    <row r="71" s="32" customFormat="1"/>
    <row r="72" s="32" customFormat="1"/>
    <row r="73" s="32" customFormat="1"/>
    <row r="74" s="32" customFormat="1"/>
    <row r="75" s="32" customFormat="1"/>
    <row r="76" s="32" customFormat="1"/>
    <row r="77" s="32" customFormat="1"/>
    <row r="78" s="32" customFormat="1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77"/>
  <sheetViews>
    <sheetView zoomScaleNormal="100" workbookViewId="0">
      <selection activeCell="N50" sqref="N50"/>
    </sheetView>
  </sheetViews>
  <sheetFormatPr defaultRowHeight="12.75"/>
  <cols>
    <col min="1" max="1" width="19.28515625" style="110" customWidth="1"/>
    <col min="2" max="21" width="9.140625" style="110"/>
    <col min="22" max="26" width="9.140625" style="112"/>
    <col min="27" max="16384" width="9.140625" style="110"/>
  </cols>
  <sheetData>
    <row r="1" spans="1:42" ht="12.75" customHeight="1">
      <c r="A1" s="109" t="s">
        <v>214</v>
      </c>
    </row>
    <row r="2" spans="1:42">
      <c r="A2" s="111" t="s">
        <v>70</v>
      </c>
      <c r="B2" s="111" t="s">
        <v>215</v>
      </c>
      <c r="C2" s="111" t="s">
        <v>216</v>
      </c>
      <c r="D2" s="111" t="s">
        <v>217</v>
      </c>
      <c r="E2" s="111" t="s">
        <v>218</v>
      </c>
      <c r="F2" s="111" t="s">
        <v>219</v>
      </c>
      <c r="G2" s="111" t="s">
        <v>220</v>
      </c>
      <c r="H2" s="111" t="s">
        <v>221</v>
      </c>
      <c r="I2" s="111" t="s">
        <v>222</v>
      </c>
      <c r="J2" s="111" t="s">
        <v>223</v>
      </c>
      <c r="K2" s="111" t="s">
        <v>224</v>
      </c>
      <c r="L2" s="111" t="s">
        <v>225</v>
      </c>
      <c r="M2" s="111" t="s">
        <v>226</v>
      </c>
      <c r="N2" s="111" t="s">
        <v>227</v>
      </c>
      <c r="O2" s="111" t="s">
        <v>228</v>
      </c>
      <c r="P2" s="111" t="s">
        <v>229</v>
      </c>
      <c r="Q2" s="111" t="s">
        <v>230</v>
      </c>
      <c r="R2" s="111" t="s">
        <v>231</v>
      </c>
      <c r="S2" s="111" t="s">
        <v>232</v>
      </c>
      <c r="T2" s="111" t="s">
        <v>121</v>
      </c>
      <c r="U2" s="111" t="s">
        <v>70</v>
      </c>
      <c r="V2" s="111"/>
    </row>
    <row r="3" spans="1:42">
      <c r="A3" s="111" t="s">
        <v>28</v>
      </c>
      <c r="B3" s="112">
        <v>3908</v>
      </c>
      <c r="C3" s="112">
        <v>3893</v>
      </c>
      <c r="D3" s="112">
        <v>3453</v>
      </c>
      <c r="E3" s="112">
        <v>3586</v>
      </c>
      <c r="F3" s="112">
        <v>3480</v>
      </c>
      <c r="G3" s="112">
        <v>3933</v>
      </c>
      <c r="H3" s="112">
        <v>3592</v>
      </c>
      <c r="I3" s="112">
        <v>3486</v>
      </c>
      <c r="J3" s="112">
        <v>4118</v>
      </c>
      <c r="K3" s="112">
        <v>4674</v>
      </c>
      <c r="L3" s="112">
        <v>4910</v>
      </c>
      <c r="M3" s="112">
        <v>4901</v>
      </c>
      <c r="N3" s="112">
        <v>4787</v>
      </c>
      <c r="O3" s="112">
        <v>5407</v>
      </c>
      <c r="P3" s="112">
        <v>4253</v>
      </c>
      <c r="Q3" s="112">
        <v>3216</v>
      </c>
      <c r="R3" s="112">
        <v>2222</v>
      </c>
      <c r="S3" s="112">
        <v>1368</v>
      </c>
      <c r="T3" s="112">
        <v>792</v>
      </c>
      <c r="U3" s="112" t="s">
        <v>27</v>
      </c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</row>
    <row r="4" spans="1:42">
      <c r="A4" s="111" t="s">
        <v>30</v>
      </c>
      <c r="B4" s="112">
        <v>6384</v>
      </c>
      <c r="C4" s="112">
        <v>6981</v>
      </c>
      <c r="D4" s="112">
        <v>6201</v>
      </c>
      <c r="E4" s="112">
        <v>7655</v>
      </c>
      <c r="F4" s="112">
        <v>10739</v>
      </c>
      <c r="G4" s="112">
        <v>7211</v>
      </c>
      <c r="H4" s="112">
        <v>6137</v>
      </c>
      <c r="I4" s="112">
        <v>5798</v>
      </c>
      <c r="J4" s="112">
        <v>7037</v>
      </c>
      <c r="K4" s="112">
        <v>7890</v>
      </c>
      <c r="L4" s="112">
        <v>8282</v>
      </c>
      <c r="M4" s="112">
        <v>7729</v>
      </c>
      <c r="N4" s="112">
        <v>7322</v>
      </c>
      <c r="O4" s="112">
        <v>8358</v>
      </c>
      <c r="P4" s="112">
        <v>6500</v>
      </c>
      <c r="Q4" s="112">
        <v>4912</v>
      </c>
      <c r="R4" s="112">
        <v>3859</v>
      </c>
      <c r="S4" s="112">
        <v>2450</v>
      </c>
      <c r="T4" s="112">
        <v>1419</v>
      </c>
      <c r="U4" s="112" t="s">
        <v>29</v>
      </c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</row>
    <row r="5" spans="1:42">
      <c r="A5" s="111" t="s">
        <v>32</v>
      </c>
      <c r="B5" s="112">
        <v>5764</v>
      </c>
      <c r="C5" s="112">
        <v>6076</v>
      </c>
      <c r="D5" s="112">
        <v>5762</v>
      </c>
      <c r="E5" s="112">
        <v>6365</v>
      </c>
      <c r="F5" s="112">
        <v>5452</v>
      </c>
      <c r="G5" s="112">
        <v>5930</v>
      </c>
      <c r="H5" s="112">
        <v>5551</v>
      </c>
      <c r="I5" s="112">
        <v>5440</v>
      </c>
      <c r="J5" s="112">
        <v>6603</v>
      </c>
      <c r="K5" s="112">
        <v>7976</v>
      </c>
      <c r="L5" s="112">
        <v>8605</v>
      </c>
      <c r="M5" s="112">
        <v>8079</v>
      </c>
      <c r="N5" s="112">
        <v>7726</v>
      </c>
      <c r="O5" s="112">
        <v>8980</v>
      </c>
      <c r="P5" s="112">
        <v>7130</v>
      </c>
      <c r="Q5" s="112">
        <v>5685</v>
      </c>
      <c r="R5" s="112">
        <v>4407</v>
      </c>
      <c r="S5" s="112">
        <v>2908</v>
      </c>
      <c r="T5" s="112">
        <v>1779</v>
      </c>
      <c r="U5" s="112" t="s">
        <v>31</v>
      </c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</row>
    <row r="6" spans="1:42">
      <c r="A6" s="111" t="s">
        <v>34</v>
      </c>
      <c r="B6" s="112">
        <v>5471</v>
      </c>
      <c r="C6" s="112">
        <v>5542</v>
      </c>
      <c r="D6" s="112">
        <v>5116</v>
      </c>
      <c r="E6" s="112">
        <v>5385</v>
      </c>
      <c r="F6" s="112">
        <v>5080</v>
      </c>
      <c r="G6" s="112">
        <v>5269</v>
      </c>
      <c r="H6" s="112">
        <v>4338</v>
      </c>
      <c r="I6" s="112">
        <v>4630</v>
      </c>
      <c r="J6" s="112">
        <v>5672</v>
      </c>
      <c r="K6" s="112">
        <v>6668</v>
      </c>
      <c r="L6" s="112">
        <v>7003</v>
      </c>
      <c r="M6" s="112">
        <v>6263</v>
      </c>
      <c r="N6" s="112">
        <v>6199</v>
      </c>
      <c r="O6" s="112">
        <v>7032</v>
      </c>
      <c r="P6" s="112">
        <v>5435</v>
      </c>
      <c r="Q6" s="112">
        <v>4072</v>
      </c>
      <c r="R6" s="112">
        <v>2885</v>
      </c>
      <c r="S6" s="112">
        <v>1741</v>
      </c>
      <c r="T6" s="112">
        <v>890</v>
      </c>
      <c r="U6" s="112" t="s">
        <v>33</v>
      </c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</row>
    <row r="7" spans="1:42">
      <c r="A7" s="111" t="s">
        <v>36</v>
      </c>
      <c r="B7" s="112">
        <v>8588</v>
      </c>
      <c r="C7" s="112">
        <v>9462</v>
      </c>
      <c r="D7" s="112">
        <v>8567</v>
      </c>
      <c r="E7" s="112">
        <v>8780</v>
      </c>
      <c r="F7" s="112">
        <v>8539</v>
      </c>
      <c r="G7" s="112">
        <v>9389</v>
      </c>
      <c r="H7" s="112">
        <v>8810</v>
      </c>
      <c r="I7" s="112">
        <v>8516</v>
      </c>
      <c r="J7" s="112">
        <v>10258</v>
      </c>
      <c r="K7" s="112">
        <v>11520</v>
      </c>
      <c r="L7" s="112">
        <v>11491</v>
      </c>
      <c r="M7" s="112">
        <v>9769</v>
      </c>
      <c r="N7" s="112">
        <v>9390</v>
      </c>
      <c r="O7" s="112">
        <v>10387</v>
      </c>
      <c r="P7" s="112">
        <v>7663</v>
      </c>
      <c r="Q7" s="112">
        <v>5769</v>
      </c>
      <c r="R7" s="112">
        <v>3755</v>
      </c>
      <c r="S7" s="112">
        <v>2181</v>
      </c>
      <c r="T7" s="112">
        <v>1240</v>
      </c>
      <c r="U7" s="112" t="s">
        <v>35</v>
      </c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</row>
    <row r="8" spans="1:42">
      <c r="A8" s="111" t="s">
        <v>38</v>
      </c>
      <c r="B8" s="112">
        <v>8547</v>
      </c>
      <c r="C8" s="112">
        <v>8728</v>
      </c>
      <c r="D8" s="112">
        <v>7522</v>
      </c>
      <c r="E8" s="112">
        <v>7626</v>
      </c>
      <c r="F8" s="112">
        <v>7886</v>
      </c>
      <c r="G8" s="112">
        <v>8716</v>
      </c>
      <c r="H8" s="112">
        <v>8989</v>
      </c>
      <c r="I8" s="112">
        <v>7915</v>
      </c>
      <c r="J8" s="112">
        <v>9141</v>
      </c>
      <c r="K8" s="112">
        <v>9777</v>
      </c>
      <c r="L8" s="112">
        <v>9640</v>
      </c>
      <c r="M8" s="112">
        <v>8428</v>
      </c>
      <c r="N8" s="112">
        <v>7993</v>
      </c>
      <c r="O8" s="112">
        <v>8330</v>
      </c>
      <c r="P8" s="112">
        <v>6373</v>
      </c>
      <c r="Q8" s="112">
        <v>4593</v>
      </c>
      <c r="R8" s="112">
        <v>3329</v>
      </c>
      <c r="S8" s="112">
        <v>2009</v>
      </c>
      <c r="T8" s="112">
        <v>1105</v>
      </c>
      <c r="U8" s="112" t="s">
        <v>37</v>
      </c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</row>
    <row r="9" spans="1:42">
      <c r="A9" s="111" t="s">
        <v>39</v>
      </c>
      <c r="B9" s="112">
        <v>6331</v>
      </c>
      <c r="C9" s="112">
        <v>6860</v>
      </c>
      <c r="D9" s="112">
        <v>6895</v>
      </c>
      <c r="E9" s="112">
        <v>7598</v>
      </c>
      <c r="F9" s="112">
        <v>6288</v>
      </c>
      <c r="G9" s="112">
        <v>6485</v>
      </c>
      <c r="H9" s="112">
        <v>5745</v>
      </c>
      <c r="I9" s="112">
        <v>5912</v>
      </c>
      <c r="J9" s="112">
        <v>7626</v>
      </c>
      <c r="K9" s="112">
        <v>9300</v>
      </c>
      <c r="L9" s="112">
        <v>10206</v>
      </c>
      <c r="M9" s="112">
        <v>9536</v>
      </c>
      <c r="N9" s="112">
        <v>9702</v>
      </c>
      <c r="O9" s="112">
        <v>10501</v>
      </c>
      <c r="P9" s="112">
        <v>8337</v>
      </c>
      <c r="Q9" s="112">
        <v>6230</v>
      </c>
      <c r="R9" s="112">
        <v>4543</v>
      </c>
      <c r="S9" s="112">
        <v>2798</v>
      </c>
      <c r="T9" s="112">
        <v>1749</v>
      </c>
      <c r="U9" s="112" t="s">
        <v>22</v>
      </c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</row>
    <row r="10" spans="1:42">
      <c r="A10" s="111" t="s">
        <v>41</v>
      </c>
      <c r="B10" s="112">
        <v>3365</v>
      </c>
      <c r="C10" s="112">
        <v>3434</v>
      </c>
      <c r="D10" s="112">
        <v>3425</v>
      </c>
      <c r="E10" s="112">
        <v>5163</v>
      </c>
      <c r="F10" s="112">
        <v>9560</v>
      </c>
      <c r="G10" s="112">
        <v>3340</v>
      </c>
      <c r="H10" s="112">
        <v>3026</v>
      </c>
      <c r="I10" s="112">
        <v>3218</v>
      </c>
      <c r="J10" s="112">
        <v>3579</v>
      </c>
      <c r="K10" s="112">
        <v>4459</v>
      </c>
      <c r="L10" s="112">
        <v>4920</v>
      </c>
      <c r="M10" s="112">
        <v>4886</v>
      </c>
      <c r="N10" s="112">
        <v>4926</v>
      </c>
      <c r="O10" s="112">
        <v>5443</v>
      </c>
      <c r="P10" s="112">
        <v>4110</v>
      </c>
      <c r="Q10" s="112">
        <v>3148</v>
      </c>
      <c r="R10" s="112">
        <v>2330</v>
      </c>
      <c r="S10" s="112">
        <v>1448</v>
      </c>
      <c r="T10" s="112">
        <v>862</v>
      </c>
      <c r="U10" s="112" t="s">
        <v>40</v>
      </c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</row>
    <row r="11" spans="1:42">
      <c r="A11" s="111" t="s">
        <v>43</v>
      </c>
      <c r="B11" s="112">
        <v>6482</v>
      </c>
      <c r="C11" s="112">
        <v>6910</v>
      </c>
      <c r="D11" s="112">
        <v>6616</v>
      </c>
      <c r="E11" s="112">
        <v>7172</v>
      </c>
      <c r="F11" s="112">
        <v>6486</v>
      </c>
      <c r="G11" s="112">
        <v>6743</v>
      </c>
      <c r="H11" s="112">
        <v>5857</v>
      </c>
      <c r="I11" s="112">
        <v>5772</v>
      </c>
      <c r="J11" s="112">
        <v>6877</v>
      </c>
      <c r="K11" s="112">
        <v>8328</v>
      </c>
      <c r="L11" s="112">
        <v>9191</v>
      </c>
      <c r="M11" s="112">
        <v>8338</v>
      </c>
      <c r="N11" s="112">
        <v>8502</v>
      </c>
      <c r="O11" s="112">
        <v>9348</v>
      </c>
      <c r="P11" s="112">
        <v>7326</v>
      </c>
      <c r="Q11" s="112">
        <v>5567</v>
      </c>
      <c r="R11" s="112">
        <v>4089</v>
      </c>
      <c r="S11" s="112">
        <v>2410</v>
      </c>
      <c r="T11" s="112">
        <v>1450</v>
      </c>
      <c r="U11" s="112" t="s">
        <v>42</v>
      </c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</row>
    <row r="12" spans="1:42">
      <c r="A12" s="111" t="s">
        <v>45</v>
      </c>
      <c r="B12" s="112">
        <v>9937</v>
      </c>
      <c r="C12" s="112">
        <v>10644</v>
      </c>
      <c r="D12" s="112">
        <v>10023</v>
      </c>
      <c r="E12" s="112">
        <v>10600</v>
      </c>
      <c r="F12" s="112">
        <v>10108</v>
      </c>
      <c r="G12" s="112">
        <v>10378</v>
      </c>
      <c r="H12" s="112">
        <v>9492</v>
      </c>
      <c r="I12" s="112">
        <v>9433</v>
      </c>
      <c r="J12" s="112">
        <v>10838</v>
      </c>
      <c r="K12" s="112">
        <v>12701</v>
      </c>
      <c r="L12" s="112">
        <v>13724</v>
      </c>
      <c r="M12" s="112">
        <v>12728</v>
      </c>
      <c r="N12" s="112">
        <v>12389</v>
      </c>
      <c r="O12" s="112">
        <v>13162</v>
      </c>
      <c r="P12" s="112">
        <v>10291</v>
      </c>
      <c r="Q12" s="112">
        <v>7669</v>
      </c>
      <c r="R12" s="112">
        <v>5627</v>
      </c>
      <c r="S12" s="112">
        <v>3456</v>
      </c>
      <c r="T12" s="112">
        <v>1923</v>
      </c>
      <c r="U12" s="112" t="s">
        <v>44</v>
      </c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</row>
    <row r="13" spans="1:42">
      <c r="A13" s="111" t="s">
        <v>47</v>
      </c>
      <c r="B13" s="112">
        <v>13247</v>
      </c>
      <c r="C13" s="112">
        <v>13145</v>
      </c>
      <c r="D13" s="112">
        <v>12628</v>
      </c>
      <c r="E13" s="112">
        <v>15590</v>
      </c>
      <c r="F13" s="112">
        <v>21084</v>
      </c>
      <c r="G13" s="112">
        <v>16471</v>
      </c>
      <c r="H13" s="112">
        <v>14923</v>
      </c>
      <c r="I13" s="112">
        <v>13653</v>
      </c>
      <c r="J13" s="112">
        <v>14880</v>
      </c>
      <c r="K13" s="112">
        <v>15813</v>
      </c>
      <c r="L13" s="112">
        <v>16011</v>
      </c>
      <c r="M13" s="112">
        <v>14626</v>
      </c>
      <c r="N13" s="112">
        <v>13499</v>
      </c>
      <c r="O13" s="112">
        <v>14202</v>
      </c>
      <c r="P13" s="112">
        <v>10938</v>
      </c>
      <c r="Q13" s="112">
        <v>8761</v>
      </c>
      <c r="R13" s="112">
        <v>6638</v>
      </c>
      <c r="S13" s="112">
        <v>4009</v>
      </c>
      <c r="T13" s="112">
        <v>2264</v>
      </c>
      <c r="U13" s="112" t="s">
        <v>46</v>
      </c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</row>
    <row r="14" spans="1:42">
      <c r="A14" s="111" t="s">
        <v>49</v>
      </c>
      <c r="B14" s="112">
        <v>7726</v>
      </c>
      <c r="C14" s="112">
        <v>7856</v>
      </c>
      <c r="D14" s="112">
        <v>7473</v>
      </c>
      <c r="E14" s="112">
        <v>8032</v>
      </c>
      <c r="F14" s="112">
        <v>7905</v>
      </c>
      <c r="G14" s="112">
        <v>8539</v>
      </c>
      <c r="H14" s="112">
        <v>8882</v>
      </c>
      <c r="I14" s="112">
        <v>8358</v>
      </c>
      <c r="J14" s="112">
        <v>8909</v>
      </c>
      <c r="K14" s="112">
        <v>9825</v>
      </c>
      <c r="L14" s="112">
        <v>10389</v>
      </c>
      <c r="M14" s="112">
        <v>9689</v>
      </c>
      <c r="N14" s="112">
        <v>8963</v>
      </c>
      <c r="O14" s="112">
        <v>8990</v>
      </c>
      <c r="P14" s="112">
        <v>6817</v>
      </c>
      <c r="Q14" s="112">
        <v>5302</v>
      </c>
      <c r="R14" s="112">
        <v>3756</v>
      </c>
      <c r="S14" s="112">
        <v>2304</v>
      </c>
      <c r="T14" s="112">
        <v>1277</v>
      </c>
      <c r="U14" s="112" t="s">
        <v>48</v>
      </c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</row>
    <row r="15" spans="1:42">
      <c r="A15" s="111" t="s">
        <v>51</v>
      </c>
      <c r="B15" s="112">
        <v>8194</v>
      </c>
      <c r="C15" s="112">
        <v>7986</v>
      </c>
      <c r="D15" s="112">
        <v>7810</v>
      </c>
      <c r="E15" s="112">
        <v>8159</v>
      </c>
      <c r="F15" s="112">
        <v>7905</v>
      </c>
      <c r="G15" s="112">
        <v>8743</v>
      </c>
      <c r="H15" s="112">
        <v>8755</v>
      </c>
      <c r="I15" s="112">
        <v>8461</v>
      </c>
      <c r="J15" s="112">
        <v>9569</v>
      </c>
      <c r="K15" s="112">
        <v>10510</v>
      </c>
      <c r="L15" s="112">
        <v>10555</v>
      </c>
      <c r="M15" s="112">
        <v>9133</v>
      </c>
      <c r="N15" s="112">
        <v>8453</v>
      </c>
      <c r="O15" s="112">
        <v>8751</v>
      </c>
      <c r="P15" s="112">
        <v>6929</v>
      </c>
      <c r="Q15" s="112">
        <v>5308</v>
      </c>
      <c r="R15" s="112">
        <v>3711</v>
      </c>
      <c r="S15" s="112">
        <v>2095</v>
      </c>
      <c r="T15" s="112">
        <v>1065</v>
      </c>
      <c r="U15" s="112" t="s">
        <v>50</v>
      </c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</row>
    <row r="16" spans="1:42">
      <c r="A16" s="111" t="s">
        <v>53</v>
      </c>
      <c r="B16" s="112">
        <v>7112</v>
      </c>
      <c r="C16" s="112">
        <v>7776</v>
      </c>
      <c r="D16" s="112">
        <v>7154</v>
      </c>
      <c r="E16" s="112">
        <v>7654</v>
      </c>
      <c r="F16" s="112">
        <v>6810</v>
      </c>
      <c r="G16" s="112">
        <v>6984</v>
      </c>
      <c r="H16" s="112">
        <v>7056</v>
      </c>
      <c r="I16" s="112">
        <v>7622</v>
      </c>
      <c r="J16" s="112">
        <v>8408</v>
      </c>
      <c r="K16" s="112">
        <v>9036</v>
      </c>
      <c r="L16" s="112">
        <v>9422</v>
      </c>
      <c r="M16" s="112">
        <v>8576</v>
      </c>
      <c r="N16" s="112">
        <v>8009</v>
      </c>
      <c r="O16" s="112">
        <v>8067</v>
      </c>
      <c r="P16" s="112">
        <v>6310</v>
      </c>
      <c r="Q16" s="112">
        <v>4796</v>
      </c>
      <c r="R16" s="112">
        <v>3400</v>
      </c>
      <c r="S16" s="112">
        <v>2109</v>
      </c>
      <c r="T16" s="112">
        <v>1291</v>
      </c>
      <c r="U16" s="112" t="s">
        <v>52</v>
      </c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</row>
    <row r="17" spans="1:42">
      <c r="A17" s="111" t="s">
        <v>57</v>
      </c>
      <c r="B17" s="112">
        <v>14295</v>
      </c>
      <c r="C17" s="112">
        <v>14282</v>
      </c>
      <c r="D17" s="112">
        <v>12922</v>
      </c>
      <c r="E17" s="112">
        <v>14204</v>
      </c>
      <c r="F17" s="112">
        <v>16425</v>
      </c>
      <c r="G17" s="112">
        <v>16072</v>
      </c>
      <c r="H17" s="112">
        <v>14873</v>
      </c>
      <c r="I17" s="112">
        <v>13591</v>
      </c>
      <c r="J17" s="112">
        <v>15101</v>
      </c>
      <c r="K17" s="112">
        <v>16669</v>
      </c>
      <c r="L17" s="112">
        <v>16560</v>
      </c>
      <c r="M17" s="112">
        <v>14632</v>
      </c>
      <c r="N17" s="112">
        <v>13405</v>
      </c>
      <c r="O17" s="112">
        <v>14565</v>
      </c>
      <c r="P17" s="112">
        <v>10806</v>
      </c>
      <c r="Q17" s="112">
        <v>8156</v>
      </c>
      <c r="R17" s="112">
        <v>5774</v>
      </c>
      <c r="S17" s="112">
        <v>3240</v>
      </c>
      <c r="T17" s="112">
        <v>1839</v>
      </c>
      <c r="U17" s="112" t="s">
        <v>56</v>
      </c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</row>
    <row r="18" spans="1:42">
      <c r="A18" s="111" t="s">
        <v>59</v>
      </c>
      <c r="B18" s="112">
        <v>3700</v>
      </c>
      <c r="C18" s="112">
        <v>3588</v>
      </c>
      <c r="D18" s="112">
        <v>3118</v>
      </c>
      <c r="E18" s="112">
        <v>3505</v>
      </c>
      <c r="F18" s="112">
        <v>3733</v>
      </c>
      <c r="G18" s="112">
        <v>4220</v>
      </c>
      <c r="H18" s="112">
        <v>4045</v>
      </c>
      <c r="I18" s="112">
        <v>3255</v>
      </c>
      <c r="J18" s="112">
        <v>3566</v>
      </c>
      <c r="K18" s="112">
        <v>4211</v>
      </c>
      <c r="L18" s="112">
        <v>4284</v>
      </c>
      <c r="M18" s="112">
        <v>3872</v>
      </c>
      <c r="N18" s="112">
        <v>3482</v>
      </c>
      <c r="O18" s="112">
        <v>3388</v>
      </c>
      <c r="P18" s="112">
        <v>2637</v>
      </c>
      <c r="Q18" s="112">
        <v>2070</v>
      </c>
      <c r="R18" s="112">
        <v>1403</v>
      </c>
      <c r="S18" s="112">
        <v>781</v>
      </c>
      <c r="T18" s="112">
        <v>466</v>
      </c>
      <c r="U18" s="112" t="s">
        <v>58</v>
      </c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</row>
    <row r="19" spans="1:42">
      <c r="A19" s="111" t="s">
        <v>61</v>
      </c>
      <c r="B19" s="112">
        <v>10606</v>
      </c>
      <c r="C19" s="112">
        <v>11221</v>
      </c>
      <c r="D19" s="112">
        <v>10288</v>
      </c>
      <c r="E19" s="112">
        <v>10753</v>
      </c>
      <c r="F19" s="112">
        <v>10649</v>
      </c>
      <c r="G19" s="112">
        <v>11603</v>
      </c>
      <c r="H19" s="112">
        <v>11527</v>
      </c>
      <c r="I19" s="112">
        <v>10672</v>
      </c>
      <c r="J19" s="112">
        <v>11694</v>
      </c>
      <c r="K19" s="112">
        <v>13180</v>
      </c>
      <c r="L19" s="112">
        <v>12802</v>
      </c>
      <c r="M19" s="112">
        <v>11305</v>
      </c>
      <c r="N19" s="112">
        <v>10483</v>
      </c>
      <c r="O19" s="112">
        <v>11050</v>
      </c>
      <c r="P19" s="112">
        <v>8344</v>
      </c>
      <c r="Q19" s="112">
        <v>6232</v>
      </c>
      <c r="R19" s="112">
        <v>4284</v>
      </c>
      <c r="S19" s="112">
        <v>2267</v>
      </c>
      <c r="T19" s="112">
        <v>1204</v>
      </c>
      <c r="U19" s="112" t="s">
        <v>60</v>
      </c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</row>
    <row r="20" spans="1:42">
      <c r="A20" s="111" t="s">
        <v>63</v>
      </c>
      <c r="B20" s="112">
        <v>3889</v>
      </c>
      <c r="C20" s="112">
        <v>3964</v>
      </c>
      <c r="D20" s="112">
        <v>3465</v>
      </c>
      <c r="E20" s="112">
        <v>4099</v>
      </c>
      <c r="F20" s="112">
        <v>4516</v>
      </c>
      <c r="G20" s="112">
        <v>4746</v>
      </c>
      <c r="H20" s="112">
        <v>4165</v>
      </c>
      <c r="I20" s="112">
        <v>3842</v>
      </c>
      <c r="J20" s="112">
        <v>4355</v>
      </c>
      <c r="K20" s="112">
        <v>5378</v>
      </c>
      <c r="L20" s="112">
        <v>5094</v>
      </c>
      <c r="M20" s="112">
        <v>4474</v>
      </c>
      <c r="N20" s="112">
        <v>4005</v>
      </c>
      <c r="O20" s="112">
        <v>4317</v>
      </c>
      <c r="P20" s="112">
        <v>3451</v>
      </c>
      <c r="Q20" s="112">
        <v>2552</v>
      </c>
      <c r="R20" s="112">
        <v>1717</v>
      </c>
      <c r="S20" s="112">
        <v>941</v>
      </c>
      <c r="T20" s="112">
        <v>574</v>
      </c>
      <c r="U20" s="112" t="s">
        <v>62</v>
      </c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</row>
    <row r="21" spans="1:42">
      <c r="A21" s="111" t="s">
        <v>65</v>
      </c>
      <c r="B21" s="112">
        <v>5348</v>
      </c>
      <c r="C21" s="112">
        <v>5523</v>
      </c>
      <c r="D21" s="112">
        <v>4926</v>
      </c>
      <c r="E21" s="112">
        <v>5555</v>
      </c>
      <c r="F21" s="112">
        <v>5654</v>
      </c>
      <c r="G21" s="112">
        <v>5908</v>
      </c>
      <c r="H21" s="112">
        <v>5476</v>
      </c>
      <c r="I21" s="112">
        <v>5043</v>
      </c>
      <c r="J21" s="112">
        <v>5475</v>
      </c>
      <c r="K21" s="112">
        <v>6548</v>
      </c>
      <c r="L21" s="112">
        <v>6811</v>
      </c>
      <c r="M21" s="112">
        <v>5945</v>
      </c>
      <c r="N21" s="112">
        <v>5517</v>
      </c>
      <c r="O21" s="112">
        <v>5652</v>
      </c>
      <c r="P21" s="112">
        <v>4368</v>
      </c>
      <c r="Q21" s="112">
        <v>3297</v>
      </c>
      <c r="R21" s="112">
        <v>2501</v>
      </c>
      <c r="S21" s="112">
        <v>1423</v>
      </c>
      <c r="T21" s="112">
        <v>866</v>
      </c>
      <c r="U21" s="112" t="s">
        <v>64</v>
      </c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</row>
    <row r="22" spans="1:42">
      <c r="A22" s="111" t="s">
        <v>67</v>
      </c>
      <c r="B22" s="112">
        <v>4354</v>
      </c>
      <c r="C22" s="112">
        <v>4923</v>
      </c>
      <c r="D22" s="112">
        <v>5105</v>
      </c>
      <c r="E22" s="112">
        <v>5464</v>
      </c>
      <c r="F22" s="112">
        <v>4428</v>
      </c>
      <c r="G22" s="112">
        <v>4287</v>
      </c>
      <c r="H22" s="112">
        <v>4006</v>
      </c>
      <c r="I22" s="112">
        <v>4398</v>
      </c>
      <c r="J22" s="112">
        <v>5681</v>
      </c>
      <c r="K22" s="112">
        <v>7329</v>
      </c>
      <c r="L22" s="112">
        <v>7714</v>
      </c>
      <c r="M22" s="112">
        <v>6494</v>
      </c>
      <c r="N22" s="112">
        <v>6422</v>
      </c>
      <c r="O22" s="112">
        <v>6775</v>
      </c>
      <c r="P22" s="112">
        <v>5275</v>
      </c>
      <c r="Q22" s="112">
        <v>3915</v>
      </c>
      <c r="R22" s="112">
        <v>3036</v>
      </c>
      <c r="S22" s="112">
        <v>1764</v>
      </c>
      <c r="T22" s="112">
        <v>1106</v>
      </c>
      <c r="U22" s="112" t="s">
        <v>66</v>
      </c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</row>
    <row r="23" spans="1:42">
      <c r="A23" s="111" t="s">
        <v>69</v>
      </c>
      <c r="B23" s="112">
        <v>9765</v>
      </c>
      <c r="C23" s="112">
        <v>9499</v>
      </c>
      <c r="D23" s="112">
        <v>8627</v>
      </c>
      <c r="E23" s="112">
        <v>9272</v>
      </c>
      <c r="F23" s="112">
        <v>9676</v>
      </c>
      <c r="G23" s="112">
        <v>9906</v>
      </c>
      <c r="H23" s="112">
        <v>9683</v>
      </c>
      <c r="I23" s="112">
        <v>8992</v>
      </c>
      <c r="J23" s="112">
        <v>9155</v>
      </c>
      <c r="K23" s="112">
        <v>10691</v>
      </c>
      <c r="L23" s="112">
        <v>10349</v>
      </c>
      <c r="M23" s="112">
        <v>8906</v>
      </c>
      <c r="N23" s="112">
        <v>7440</v>
      </c>
      <c r="O23" s="112">
        <v>7964</v>
      </c>
      <c r="P23" s="112">
        <v>6098</v>
      </c>
      <c r="Q23" s="112">
        <v>4987</v>
      </c>
      <c r="R23" s="112">
        <v>3529</v>
      </c>
      <c r="S23" s="112">
        <v>2028</v>
      </c>
      <c r="T23" s="112">
        <v>1202</v>
      </c>
      <c r="U23" s="112" t="s">
        <v>68</v>
      </c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</row>
    <row r="24" spans="1:42">
      <c r="A24" s="111" t="s">
        <v>55</v>
      </c>
      <c r="B24" s="112">
        <v>22909</v>
      </c>
      <c r="C24" s="112">
        <v>21510</v>
      </c>
      <c r="D24" s="112">
        <v>17857</v>
      </c>
      <c r="E24" s="112">
        <v>23774</v>
      </c>
      <c r="F24" s="112">
        <v>41811</v>
      </c>
      <c r="G24" s="112">
        <v>30182</v>
      </c>
      <c r="H24" s="112">
        <v>27037</v>
      </c>
      <c r="I24" s="112">
        <v>22668</v>
      </c>
      <c r="J24" s="112">
        <v>21340</v>
      </c>
      <c r="K24" s="112">
        <v>21616</v>
      </c>
      <c r="L24" s="112">
        <v>21694</v>
      </c>
      <c r="M24" s="112">
        <v>18866</v>
      </c>
      <c r="N24" s="112">
        <v>16308</v>
      </c>
      <c r="O24" s="112">
        <v>15017</v>
      </c>
      <c r="P24" s="112">
        <v>11020</v>
      </c>
      <c r="Q24" s="112">
        <v>9204</v>
      </c>
      <c r="R24" s="112">
        <v>7139</v>
      </c>
      <c r="S24" s="112">
        <v>4509</v>
      </c>
      <c r="T24" s="112">
        <v>2699</v>
      </c>
      <c r="U24" s="112" t="s">
        <v>54</v>
      </c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</row>
    <row r="25" spans="1:42">
      <c r="A25" s="111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>
        <f>SUM(B3:T24)</f>
        <v>3099086</v>
      </c>
      <c r="U25" s="112"/>
    </row>
    <row r="26" spans="1:42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</row>
    <row r="27" spans="1:42">
      <c r="A27" s="111" t="s">
        <v>233</v>
      </c>
    </row>
    <row r="28" spans="1:42">
      <c r="A28" s="111" t="s">
        <v>70</v>
      </c>
      <c r="B28" s="111" t="s">
        <v>215</v>
      </c>
      <c r="C28" s="111" t="s">
        <v>216</v>
      </c>
      <c r="D28" s="111" t="s">
        <v>217</v>
      </c>
      <c r="E28" s="111" t="s">
        <v>218</v>
      </c>
      <c r="F28" s="111" t="s">
        <v>219</v>
      </c>
      <c r="G28" s="111" t="s">
        <v>220</v>
      </c>
      <c r="H28" s="111" t="s">
        <v>221</v>
      </c>
      <c r="I28" s="111" t="s">
        <v>222</v>
      </c>
      <c r="J28" s="111" t="s">
        <v>223</v>
      </c>
      <c r="K28" s="111" t="s">
        <v>224</v>
      </c>
      <c r="L28" s="111" t="s">
        <v>225</v>
      </c>
      <c r="M28" s="111" t="s">
        <v>226</v>
      </c>
      <c r="N28" s="111" t="s">
        <v>227</v>
      </c>
      <c r="O28" s="111" t="s">
        <v>228</v>
      </c>
      <c r="P28" s="111" t="s">
        <v>229</v>
      </c>
      <c r="Q28" s="111" t="s">
        <v>230</v>
      </c>
      <c r="R28" s="111" t="s">
        <v>231</v>
      </c>
      <c r="S28" s="111" t="s">
        <v>232</v>
      </c>
      <c r="T28" s="111" t="s">
        <v>121</v>
      </c>
      <c r="U28" s="111" t="s">
        <v>70</v>
      </c>
      <c r="V28" s="111"/>
    </row>
    <row r="29" spans="1:42">
      <c r="A29" s="111" t="s">
        <v>28</v>
      </c>
      <c r="B29" s="112">
        <v>1997</v>
      </c>
      <c r="C29" s="112">
        <v>2030</v>
      </c>
      <c r="D29" s="112">
        <v>1760</v>
      </c>
      <c r="E29" s="112">
        <v>1838</v>
      </c>
      <c r="F29" s="112">
        <v>1820</v>
      </c>
      <c r="G29" s="112">
        <v>2011</v>
      </c>
      <c r="H29" s="112">
        <v>1823</v>
      </c>
      <c r="I29" s="112">
        <v>1728</v>
      </c>
      <c r="J29" s="112">
        <v>2068</v>
      </c>
      <c r="K29" s="112">
        <v>2294</v>
      </c>
      <c r="L29" s="112">
        <v>2391</v>
      </c>
      <c r="M29" s="112">
        <v>2424</v>
      </c>
      <c r="N29" s="112">
        <v>2373</v>
      </c>
      <c r="O29" s="112">
        <v>2637</v>
      </c>
      <c r="P29" s="112">
        <v>2078</v>
      </c>
      <c r="Q29" s="112">
        <v>1577</v>
      </c>
      <c r="R29" s="112">
        <v>918</v>
      </c>
      <c r="S29" s="112">
        <v>488</v>
      </c>
      <c r="T29" s="112">
        <v>197</v>
      </c>
      <c r="U29" s="112" t="s">
        <v>27</v>
      </c>
    </row>
    <row r="30" spans="1:42">
      <c r="A30" s="111" t="s">
        <v>30</v>
      </c>
      <c r="B30" s="112">
        <v>3267</v>
      </c>
      <c r="C30" s="112">
        <v>3528</v>
      </c>
      <c r="D30" s="112">
        <v>3240</v>
      </c>
      <c r="E30" s="112">
        <v>3831</v>
      </c>
      <c r="F30" s="112">
        <v>5575</v>
      </c>
      <c r="G30" s="112">
        <v>3738</v>
      </c>
      <c r="H30" s="112">
        <v>3248</v>
      </c>
      <c r="I30" s="112">
        <v>2958</v>
      </c>
      <c r="J30" s="112">
        <v>3464</v>
      </c>
      <c r="K30" s="112">
        <v>3832</v>
      </c>
      <c r="L30" s="112">
        <v>4110</v>
      </c>
      <c r="M30" s="112">
        <v>3821</v>
      </c>
      <c r="N30" s="112">
        <v>3618</v>
      </c>
      <c r="O30" s="112">
        <v>4229</v>
      </c>
      <c r="P30" s="112">
        <v>3159</v>
      </c>
      <c r="Q30" s="112">
        <v>2339</v>
      </c>
      <c r="R30" s="112">
        <v>1629</v>
      </c>
      <c r="S30" s="112">
        <v>884</v>
      </c>
      <c r="T30" s="112">
        <v>385</v>
      </c>
      <c r="U30" s="112" t="s">
        <v>29</v>
      </c>
    </row>
    <row r="31" spans="1:42">
      <c r="A31" s="111" t="s">
        <v>32</v>
      </c>
      <c r="B31" s="112">
        <v>2965</v>
      </c>
      <c r="C31" s="112">
        <v>3106</v>
      </c>
      <c r="D31" s="112">
        <v>2982</v>
      </c>
      <c r="E31" s="112">
        <v>3329</v>
      </c>
      <c r="F31" s="112">
        <v>2849</v>
      </c>
      <c r="G31" s="112">
        <v>3084</v>
      </c>
      <c r="H31" s="112">
        <v>2701</v>
      </c>
      <c r="I31" s="112">
        <v>2747</v>
      </c>
      <c r="J31" s="112">
        <v>3200</v>
      </c>
      <c r="K31" s="112">
        <v>3842</v>
      </c>
      <c r="L31" s="112">
        <v>4165</v>
      </c>
      <c r="M31" s="112">
        <v>3901</v>
      </c>
      <c r="N31" s="112">
        <v>3675</v>
      </c>
      <c r="O31" s="112">
        <v>4390</v>
      </c>
      <c r="P31" s="112">
        <v>3484</v>
      </c>
      <c r="Q31" s="112">
        <v>2602</v>
      </c>
      <c r="R31" s="112">
        <v>1893</v>
      </c>
      <c r="S31" s="112">
        <v>1081</v>
      </c>
      <c r="T31" s="112">
        <v>541</v>
      </c>
      <c r="U31" s="112" t="s">
        <v>31</v>
      </c>
    </row>
    <row r="32" spans="1:42">
      <c r="A32" s="111" t="s">
        <v>34</v>
      </c>
      <c r="B32" s="112">
        <v>2760</v>
      </c>
      <c r="C32" s="112">
        <v>2833</v>
      </c>
      <c r="D32" s="112">
        <v>2759</v>
      </c>
      <c r="E32" s="112">
        <v>2842</v>
      </c>
      <c r="F32" s="112">
        <v>2631</v>
      </c>
      <c r="G32" s="112">
        <v>2694</v>
      </c>
      <c r="H32" s="112">
        <v>2190</v>
      </c>
      <c r="I32" s="112">
        <v>2165</v>
      </c>
      <c r="J32" s="112">
        <v>2715</v>
      </c>
      <c r="K32" s="112">
        <v>3164</v>
      </c>
      <c r="L32" s="112">
        <v>3439</v>
      </c>
      <c r="M32" s="112">
        <v>3130</v>
      </c>
      <c r="N32" s="112">
        <v>3011</v>
      </c>
      <c r="O32" s="112">
        <v>3500</v>
      </c>
      <c r="P32" s="112">
        <v>2634</v>
      </c>
      <c r="Q32" s="112">
        <v>1911</v>
      </c>
      <c r="R32" s="112">
        <v>1315</v>
      </c>
      <c r="S32" s="112">
        <v>710</v>
      </c>
      <c r="T32" s="112">
        <v>277</v>
      </c>
      <c r="U32" s="112" t="s">
        <v>33</v>
      </c>
    </row>
    <row r="33" spans="1:21">
      <c r="A33" s="111" t="s">
        <v>36</v>
      </c>
      <c r="B33" s="112">
        <v>4388</v>
      </c>
      <c r="C33" s="112">
        <v>4788</v>
      </c>
      <c r="D33" s="112">
        <v>4349</v>
      </c>
      <c r="E33" s="112">
        <v>4590</v>
      </c>
      <c r="F33" s="112">
        <v>4423</v>
      </c>
      <c r="G33" s="112">
        <v>4810</v>
      </c>
      <c r="H33" s="112">
        <v>4397</v>
      </c>
      <c r="I33" s="112">
        <v>4162</v>
      </c>
      <c r="J33" s="112">
        <v>5026</v>
      </c>
      <c r="K33" s="112">
        <v>5571</v>
      </c>
      <c r="L33" s="112">
        <v>5577</v>
      </c>
      <c r="M33" s="112">
        <v>4853</v>
      </c>
      <c r="N33" s="112">
        <v>4550</v>
      </c>
      <c r="O33" s="112">
        <v>5065</v>
      </c>
      <c r="P33" s="112">
        <v>3732</v>
      </c>
      <c r="Q33" s="112">
        <v>2717</v>
      </c>
      <c r="R33" s="112">
        <v>1699</v>
      </c>
      <c r="S33" s="112">
        <v>832</v>
      </c>
      <c r="T33" s="112">
        <v>397</v>
      </c>
      <c r="U33" s="112" t="s">
        <v>35</v>
      </c>
    </row>
    <row r="34" spans="1:21">
      <c r="A34" s="111" t="s">
        <v>38</v>
      </c>
      <c r="B34" s="112">
        <v>4311</v>
      </c>
      <c r="C34" s="112">
        <v>4514</v>
      </c>
      <c r="D34" s="112">
        <v>3916</v>
      </c>
      <c r="E34" s="112">
        <v>4049</v>
      </c>
      <c r="F34" s="112">
        <v>4139</v>
      </c>
      <c r="G34" s="112">
        <v>4419</v>
      </c>
      <c r="H34" s="112">
        <v>4468</v>
      </c>
      <c r="I34" s="112">
        <v>4069</v>
      </c>
      <c r="J34" s="112">
        <v>4598</v>
      </c>
      <c r="K34" s="112">
        <v>4750</v>
      </c>
      <c r="L34" s="112">
        <v>4849</v>
      </c>
      <c r="M34" s="112">
        <v>4132</v>
      </c>
      <c r="N34" s="112">
        <v>3899</v>
      </c>
      <c r="O34" s="112">
        <v>4099</v>
      </c>
      <c r="P34" s="112">
        <v>3135</v>
      </c>
      <c r="Q34" s="112">
        <v>2201</v>
      </c>
      <c r="R34" s="112">
        <v>1450</v>
      </c>
      <c r="S34" s="112">
        <v>791</v>
      </c>
      <c r="T34" s="112">
        <v>324</v>
      </c>
      <c r="U34" s="112" t="s">
        <v>37</v>
      </c>
    </row>
    <row r="35" spans="1:21">
      <c r="A35" s="111" t="s">
        <v>39</v>
      </c>
      <c r="B35" s="112">
        <v>3264</v>
      </c>
      <c r="C35" s="112">
        <v>3496</v>
      </c>
      <c r="D35" s="112">
        <v>3536</v>
      </c>
      <c r="E35" s="112">
        <v>3994</v>
      </c>
      <c r="F35" s="112">
        <v>3360</v>
      </c>
      <c r="G35" s="112">
        <v>3474</v>
      </c>
      <c r="H35" s="112">
        <v>2869</v>
      </c>
      <c r="I35" s="112">
        <v>2838</v>
      </c>
      <c r="J35" s="112">
        <v>3684</v>
      </c>
      <c r="K35" s="112">
        <v>4561</v>
      </c>
      <c r="L35" s="112">
        <v>5108</v>
      </c>
      <c r="M35" s="112">
        <v>4648</v>
      </c>
      <c r="N35" s="112">
        <v>4715</v>
      </c>
      <c r="O35" s="112">
        <v>5261</v>
      </c>
      <c r="P35" s="112">
        <v>4111</v>
      </c>
      <c r="Q35" s="112">
        <v>3074</v>
      </c>
      <c r="R35" s="112">
        <v>2029</v>
      </c>
      <c r="S35" s="112">
        <v>1109</v>
      </c>
      <c r="T35" s="112">
        <v>534</v>
      </c>
      <c r="U35" s="112" t="s">
        <v>22</v>
      </c>
    </row>
    <row r="36" spans="1:21">
      <c r="A36" s="111" t="s">
        <v>41</v>
      </c>
      <c r="B36" s="112">
        <v>1679</v>
      </c>
      <c r="C36" s="112">
        <v>1754</v>
      </c>
      <c r="D36" s="112">
        <v>1771</v>
      </c>
      <c r="E36" s="112">
        <v>2709</v>
      </c>
      <c r="F36" s="112">
        <v>5458</v>
      </c>
      <c r="G36" s="112">
        <v>1748</v>
      </c>
      <c r="H36" s="112">
        <v>1525</v>
      </c>
      <c r="I36" s="112">
        <v>1615</v>
      </c>
      <c r="J36" s="112">
        <v>1726</v>
      </c>
      <c r="K36" s="112">
        <v>2195</v>
      </c>
      <c r="L36" s="112">
        <v>2353</v>
      </c>
      <c r="M36" s="112">
        <v>2394</v>
      </c>
      <c r="N36" s="112">
        <v>2382</v>
      </c>
      <c r="O36" s="112">
        <v>2748</v>
      </c>
      <c r="P36" s="112">
        <v>2048</v>
      </c>
      <c r="Q36" s="112">
        <v>1511</v>
      </c>
      <c r="R36" s="112">
        <v>1026</v>
      </c>
      <c r="S36" s="112">
        <v>582</v>
      </c>
      <c r="T36" s="112">
        <v>251</v>
      </c>
      <c r="U36" s="112" t="s">
        <v>40</v>
      </c>
    </row>
    <row r="37" spans="1:21">
      <c r="A37" s="111" t="s">
        <v>43</v>
      </c>
      <c r="B37" s="112">
        <v>3261</v>
      </c>
      <c r="C37" s="112">
        <v>3589</v>
      </c>
      <c r="D37" s="112">
        <v>3405</v>
      </c>
      <c r="E37" s="112">
        <v>3781</v>
      </c>
      <c r="F37" s="112">
        <v>3347</v>
      </c>
      <c r="G37" s="112">
        <v>3527</v>
      </c>
      <c r="H37" s="112">
        <v>2908</v>
      </c>
      <c r="I37" s="112">
        <v>2793</v>
      </c>
      <c r="J37" s="112">
        <v>3208</v>
      </c>
      <c r="K37" s="112">
        <v>4141</v>
      </c>
      <c r="L37" s="112">
        <v>4442</v>
      </c>
      <c r="M37" s="112">
        <v>4082</v>
      </c>
      <c r="N37" s="112">
        <v>4147</v>
      </c>
      <c r="O37" s="112">
        <v>4523</v>
      </c>
      <c r="P37" s="112">
        <v>3546</v>
      </c>
      <c r="Q37" s="112">
        <v>2728</v>
      </c>
      <c r="R37" s="112">
        <v>1799</v>
      </c>
      <c r="S37" s="112">
        <v>939</v>
      </c>
      <c r="T37" s="112">
        <v>440</v>
      </c>
      <c r="U37" s="112" t="s">
        <v>42</v>
      </c>
    </row>
    <row r="38" spans="1:21">
      <c r="A38" s="111" t="s">
        <v>45</v>
      </c>
      <c r="B38" s="112">
        <v>5081</v>
      </c>
      <c r="C38" s="112">
        <v>5461</v>
      </c>
      <c r="D38" s="112">
        <v>5204</v>
      </c>
      <c r="E38" s="112">
        <v>5573</v>
      </c>
      <c r="F38" s="112">
        <v>5084</v>
      </c>
      <c r="G38" s="112">
        <v>5265</v>
      </c>
      <c r="H38" s="112">
        <v>4605</v>
      </c>
      <c r="I38" s="112">
        <v>4486</v>
      </c>
      <c r="J38" s="112">
        <v>5288</v>
      </c>
      <c r="K38" s="112">
        <v>6097</v>
      </c>
      <c r="L38" s="112">
        <v>6652</v>
      </c>
      <c r="M38" s="112">
        <v>6002</v>
      </c>
      <c r="N38" s="112">
        <v>6110</v>
      </c>
      <c r="O38" s="112">
        <v>6506</v>
      </c>
      <c r="P38" s="112">
        <v>5083</v>
      </c>
      <c r="Q38" s="112">
        <v>3709</v>
      </c>
      <c r="R38" s="112">
        <v>2511</v>
      </c>
      <c r="S38" s="112">
        <v>1352</v>
      </c>
      <c r="T38" s="112">
        <v>552</v>
      </c>
      <c r="U38" s="112" t="s">
        <v>44</v>
      </c>
    </row>
    <row r="39" spans="1:21">
      <c r="A39" s="111" t="s">
        <v>47</v>
      </c>
      <c r="B39" s="112">
        <v>6986</v>
      </c>
      <c r="C39" s="112">
        <v>6819</v>
      </c>
      <c r="D39" s="112">
        <v>6535</v>
      </c>
      <c r="E39" s="112">
        <v>8316</v>
      </c>
      <c r="F39" s="112">
        <v>11652</v>
      </c>
      <c r="G39" s="112">
        <v>8597</v>
      </c>
      <c r="H39" s="112">
        <v>7746</v>
      </c>
      <c r="I39" s="112">
        <v>7024</v>
      </c>
      <c r="J39" s="112">
        <v>7227</v>
      </c>
      <c r="K39" s="112">
        <v>7902</v>
      </c>
      <c r="L39" s="112">
        <v>7890</v>
      </c>
      <c r="M39" s="112">
        <v>6952</v>
      </c>
      <c r="N39" s="112">
        <v>6456</v>
      </c>
      <c r="O39" s="112">
        <v>6721</v>
      </c>
      <c r="P39" s="112">
        <v>5097</v>
      </c>
      <c r="Q39" s="112">
        <v>3919</v>
      </c>
      <c r="R39" s="112">
        <v>2849</v>
      </c>
      <c r="S39" s="112">
        <v>1519</v>
      </c>
      <c r="T39" s="112">
        <v>658</v>
      </c>
      <c r="U39" s="112" t="s">
        <v>46</v>
      </c>
    </row>
    <row r="40" spans="1:21">
      <c r="A40" s="111" t="s">
        <v>49</v>
      </c>
      <c r="B40" s="112">
        <v>3993</v>
      </c>
      <c r="C40" s="112">
        <v>3992</v>
      </c>
      <c r="D40" s="112">
        <v>3787</v>
      </c>
      <c r="E40" s="112">
        <v>4139</v>
      </c>
      <c r="F40" s="112">
        <v>4070</v>
      </c>
      <c r="G40" s="112">
        <v>4269</v>
      </c>
      <c r="H40" s="112">
        <v>4486</v>
      </c>
      <c r="I40" s="112">
        <v>4242</v>
      </c>
      <c r="J40" s="112">
        <v>4354</v>
      </c>
      <c r="K40" s="112">
        <v>4820</v>
      </c>
      <c r="L40" s="112">
        <v>5037</v>
      </c>
      <c r="M40" s="112">
        <v>4760</v>
      </c>
      <c r="N40" s="112">
        <v>4397</v>
      </c>
      <c r="O40" s="112">
        <v>4374</v>
      </c>
      <c r="P40" s="112">
        <v>3286</v>
      </c>
      <c r="Q40" s="112">
        <v>2418</v>
      </c>
      <c r="R40" s="112">
        <v>1606</v>
      </c>
      <c r="S40" s="112">
        <v>859</v>
      </c>
      <c r="T40" s="112">
        <v>330</v>
      </c>
      <c r="U40" s="112" t="s">
        <v>48</v>
      </c>
    </row>
    <row r="41" spans="1:21">
      <c r="A41" s="111" t="s">
        <v>51</v>
      </c>
      <c r="B41" s="112">
        <v>4251</v>
      </c>
      <c r="C41" s="112">
        <v>4193</v>
      </c>
      <c r="D41" s="112">
        <v>3932</v>
      </c>
      <c r="E41" s="112">
        <v>4357</v>
      </c>
      <c r="F41" s="112">
        <v>4210</v>
      </c>
      <c r="G41" s="112">
        <v>4363</v>
      </c>
      <c r="H41" s="112">
        <v>4522</v>
      </c>
      <c r="I41" s="112">
        <v>4312</v>
      </c>
      <c r="J41" s="112">
        <v>4722</v>
      </c>
      <c r="K41" s="112">
        <v>5171</v>
      </c>
      <c r="L41" s="112">
        <v>5156</v>
      </c>
      <c r="M41" s="112">
        <v>4470</v>
      </c>
      <c r="N41" s="112">
        <v>4101</v>
      </c>
      <c r="O41" s="112">
        <v>4219</v>
      </c>
      <c r="P41" s="112">
        <v>3287</v>
      </c>
      <c r="Q41" s="112">
        <v>2332</v>
      </c>
      <c r="R41" s="112">
        <v>1600</v>
      </c>
      <c r="S41" s="112">
        <v>809</v>
      </c>
      <c r="T41" s="112">
        <v>309</v>
      </c>
      <c r="U41" s="112" t="s">
        <v>50</v>
      </c>
    </row>
    <row r="42" spans="1:21">
      <c r="A42" s="111" t="s">
        <v>53</v>
      </c>
      <c r="B42" s="112">
        <v>3609</v>
      </c>
      <c r="C42" s="112">
        <v>4016</v>
      </c>
      <c r="D42" s="112">
        <v>3634</v>
      </c>
      <c r="E42" s="112">
        <v>3933</v>
      </c>
      <c r="F42" s="112">
        <v>3532</v>
      </c>
      <c r="G42" s="112">
        <v>3656</v>
      </c>
      <c r="H42" s="112">
        <v>3562</v>
      </c>
      <c r="I42" s="112">
        <v>3784</v>
      </c>
      <c r="J42" s="112">
        <v>4020</v>
      </c>
      <c r="K42" s="112">
        <v>4290</v>
      </c>
      <c r="L42" s="112">
        <v>4524</v>
      </c>
      <c r="M42" s="112">
        <v>4089</v>
      </c>
      <c r="N42" s="112">
        <v>3818</v>
      </c>
      <c r="O42" s="112">
        <v>3828</v>
      </c>
      <c r="P42" s="112">
        <v>2962</v>
      </c>
      <c r="Q42" s="112">
        <v>2153</v>
      </c>
      <c r="R42" s="112">
        <v>1490</v>
      </c>
      <c r="S42" s="112">
        <v>766</v>
      </c>
      <c r="T42" s="112">
        <v>331</v>
      </c>
      <c r="U42" s="112" t="s">
        <v>52</v>
      </c>
    </row>
    <row r="43" spans="1:21">
      <c r="A43" s="111" t="s">
        <v>57</v>
      </c>
      <c r="B43" s="112">
        <v>7206</v>
      </c>
      <c r="C43" s="112">
        <v>7362</v>
      </c>
      <c r="D43" s="112">
        <v>6569</v>
      </c>
      <c r="E43" s="112">
        <v>7251</v>
      </c>
      <c r="F43" s="112">
        <v>8453</v>
      </c>
      <c r="G43" s="112">
        <v>8014</v>
      </c>
      <c r="H43" s="112">
        <v>7147</v>
      </c>
      <c r="I43" s="112">
        <v>6689</v>
      </c>
      <c r="J43" s="112">
        <v>7344</v>
      </c>
      <c r="K43" s="112">
        <v>8255</v>
      </c>
      <c r="L43" s="112">
        <v>8193</v>
      </c>
      <c r="M43" s="112">
        <v>7137</v>
      </c>
      <c r="N43" s="112">
        <v>6605</v>
      </c>
      <c r="O43" s="112">
        <v>7140</v>
      </c>
      <c r="P43" s="112">
        <v>5175</v>
      </c>
      <c r="Q43" s="112">
        <v>3723</v>
      </c>
      <c r="R43" s="112">
        <v>2494</v>
      </c>
      <c r="S43" s="112">
        <v>1213</v>
      </c>
      <c r="T43" s="112">
        <v>475</v>
      </c>
      <c r="U43" s="112" t="s">
        <v>56</v>
      </c>
    </row>
    <row r="44" spans="1:21">
      <c r="A44" s="111" t="s">
        <v>59</v>
      </c>
      <c r="B44" s="112">
        <v>1917</v>
      </c>
      <c r="C44" s="112">
        <v>1851</v>
      </c>
      <c r="D44" s="112">
        <v>1611</v>
      </c>
      <c r="E44" s="112">
        <v>1749</v>
      </c>
      <c r="F44" s="112">
        <v>1867</v>
      </c>
      <c r="G44" s="112">
        <v>2076</v>
      </c>
      <c r="H44" s="112">
        <v>1942</v>
      </c>
      <c r="I44" s="112">
        <v>1631</v>
      </c>
      <c r="J44" s="112">
        <v>1735</v>
      </c>
      <c r="K44" s="112">
        <v>2048</v>
      </c>
      <c r="L44" s="112">
        <v>2037</v>
      </c>
      <c r="M44" s="112">
        <v>1935</v>
      </c>
      <c r="N44" s="112">
        <v>1727</v>
      </c>
      <c r="O44" s="112">
        <v>1640</v>
      </c>
      <c r="P44" s="112">
        <v>1287</v>
      </c>
      <c r="Q44" s="112">
        <v>991</v>
      </c>
      <c r="R44" s="112">
        <v>597</v>
      </c>
      <c r="S44" s="112">
        <v>291</v>
      </c>
      <c r="T44" s="112">
        <v>138</v>
      </c>
      <c r="U44" s="112" t="s">
        <v>58</v>
      </c>
    </row>
    <row r="45" spans="1:21">
      <c r="A45" s="111" t="s">
        <v>61</v>
      </c>
      <c r="B45" s="112">
        <v>5330</v>
      </c>
      <c r="C45" s="112">
        <v>5787</v>
      </c>
      <c r="D45" s="112">
        <v>5358</v>
      </c>
      <c r="E45" s="112">
        <v>5485</v>
      </c>
      <c r="F45" s="112">
        <v>5384</v>
      </c>
      <c r="G45" s="112">
        <v>5651</v>
      </c>
      <c r="H45" s="112">
        <v>5472</v>
      </c>
      <c r="I45" s="112">
        <v>5185</v>
      </c>
      <c r="J45" s="112">
        <v>5682</v>
      </c>
      <c r="K45" s="112">
        <v>6518</v>
      </c>
      <c r="L45" s="112">
        <v>6364</v>
      </c>
      <c r="M45" s="112">
        <v>5578</v>
      </c>
      <c r="N45" s="112">
        <v>5128</v>
      </c>
      <c r="O45" s="112">
        <v>5402</v>
      </c>
      <c r="P45" s="112">
        <v>3982</v>
      </c>
      <c r="Q45" s="112">
        <v>2910</v>
      </c>
      <c r="R45" s="112">
        <v>1791</v>
      </c>
      <c r="S45" s="112">
        <v>892</v>
      </c>
      <c r="T45" s="112">
        <v>315</v>
      </c>
      <c r="U45" s="112" t="s">
        <v>60</v>
      </c>
    </row>
    <row r="46" spans="1:21">
      <c r="A46" s="111" t="s">
        <v>63</v>
      </c>
      <c r="B46" s="112">
        <v>2026</v>
      </c>
      <c r="C46" s="112">
        <v>2005</v>
      </c>
      <c r="D46" s="112">
        <v>1747</v>
      </c>
      <c r="E46" s="112">
        <v>2041</v>
      </c>
      <c r="F46" s="112">
        <v>2234</v>
      </c>
      <c r="G46" s="112">
        <v>2302</v>
      </c>
      <c r="H46" s="112">
        <v>2054</v>
      </c>
      <c r="I46" s="112">
        <v>1913</v>
      </c>
      <c r="J46" s="112">
        <v>2201</v>
      </c>
      <c r="K46" s="112">
        <v>2589</v>
      </c>
      <c r="L46" s="112">
        <v>2562</v>
      </c>
      <c r="M46" s="112">
        <v>2222</v>
      </c>
      <c r="N46" s="112">
        <v>2000</v>
      </c>
      <c r="O46" s="112">
        <v>2160</v>
      </c>
      <c r="P46" s="112">
        <v>1676</v>
      </c>
      <c r="Q46" s="112">
        <v>1225</v>
      </c>
      <c r="R46" s="112">
        <v>754</v>
      </c>
      <c r="S46" s="112">
        <v>339</v>
      </c>
      <c r="T46" s="112">
        <v>152</v>
      </c>
      <c r="U46" s="112" t="s">
        <v>62</v>
      </c>
    </row>
    <row r="47" spans="1:21">
      <c r="A47" s="111" t="s">
        <v>65</v>
      </c>
      <c r="B47" s="112">
        <v>2756</v>
      </c>
      <c r="C47" s="112">
        <v>2846</v>
      </c>
      <c r="D47" s="112">
        <v>2524</v>
      </c>
      <c r="E47" s="112">
        <v>2838</v>
      </c>
      <c r="F47" s="112">
        <v>2850</v>
      </c>
      <c r="G47" s="112">
        <v>2847</v>
      </c>
      <c r="H47" s="112">
        <v>2656</v>
      </c>
      <c r="I47" s="112">
        <v>2406</v>
      </c>
      <c r="J47" s="112">
        <v>2686</v>
      </c>
      <c r="K47" s="112">
        <v>3175</v>
      </c>
      <c r="L47" s="112">
        <v>3383</v>
      </c>
      <c r="M47" s="112">
        <v>2939</v>
      </c>
      <c r="N47" s="112">
        <v>2694</v>
      </c>
      <c r="O47" s="112">
        <v>2764</v>
      </c>
      <c r="P47" s="112">
        <v>2090</v>
      </c>
      <c r="Q47" s="112">
        <v>1491</v>
      </c>
      <c r="R47" s="112">
        <v>1050</v>
      </c>
      <c r="S47" s="112">
        <v>546</v>
      </c>
      <c r="T47" s="112">
        <v>246</v>
      </c>
      <c r="U47" s="112" t="s">
        <v>64</v>
      </c>
    </row>
    <row r="48" spans="1:21">
      <c r="A48" s="111" t="s">
        <v>67</v>
      </c>
      <c r="B48" s="112">
        <v>2243</v>
      </c>
      <c r="C48" s="112">
        <v>2476</v>
      </c>
      <c r="D48" s="112">
        <v>2659</v>
      </c>
      <c r="E48" s="112">
        <v>2826</v>
      </c>
      <c r="F48" s="112">
        <v>2424</v>
      </c>
      <c r="G48" s="112">
        <v>2274</v>
      </c>
      <c r="H48" s="112">
        <v>1972</v>
      </c>
      <c r="I48" s="112">
        <v>2074</v>
      </c>
      <c r="J48" s="112">
        <v>2690</v>
      </c>
      <c r="K48" s="112">
        <v>3620</v>
      </c>
      <c r="L48" s="112">
        <v>3793</v>
      </c>
      <c r="M48" s="112">
        <v>3192</v>
      </c>
      <c r="N48" s="112">
        <v>3126</v>
      </c>
      <c r="O48" s="112">
        <v>3324</v>
      </c>
      <c r="P48" s="112">
        <v>2554</v>
      </c>
      <c r="Q48" s="112">
        <v>1835</v>
      </c>
      <c r="R48" s="112">
        <v>1430</v>
      </c>
      <c r="S48" s="112">
        <v>671</v>
      </c>
      <c r="T48" s="112">
        <v>314</v>
      </c>
      <c r="U48" s="112" t="s">
        <v>66</v>
      </c>
    </row>
    <row r="49" spans="1:22">
      <c r="A49" s="111" t="s">
        <v>69</v>
      </c>
      <c r="B49" s="112">
        <v>4985</v>
      </c>
      <c r="C49" s="112">
        <v>4866</v>
      </c>
      <c r="D49" s="112">
        <v>4373</v>
      </c>
      <c r="E49" s="112">
        <v>4812</v>
      </c>
      <c r="F49" s="112">
        <v>4843</v>
      </c>
      <c r="G49" s="112">
        <v>4859</v>
      </c>
      <c r="H49" s="112">
        <v>4620</v>
      </c>
      <c r="I49" s="112">
        <v>4540</v>
      </c>
      <c r="J49" s="112">
        <v>4519</v>
      </c>
      <c r="K49" s="112">
        <v>5197</v>
      </c>
      <c r="L49" s="112">
        <v>5093</v>
      </c>
      <c r="M49" s="112">
        <v>4433</v>
      </c>
      <c r="N49" s="112">
        <v>3694</v>
      </c>
      <c r="O49" s="112">
        <v>3841</v>
      </c>
      <c r="P49" s="112">
        <v>2849</v>
      </c>
      <c r="Q49" s="112">
        <v>2312</v>
      </c>
      <c r="R49" s="112">
        <v>1508</v>
      </c>
      <c r="S49" s="112">
        <v>784</v>
      </c>
      <c r="T49" s="112">
        <v>341</v>
      </c>
      <c r="U49" s="112" t="s">
        <v>68</v>
      </c>
    </row>
    <row r="50" spans="1:22">
      <c r="A50" s="111" t="s">
        <v>55</v>
      </c>
      <c r="B50" s="112">
        <v>11803</v>
      </c>
      <c r="C50" s="112">
        <v>10844</v>
      </c>
      <c r="D50" s="112">
        <v>9104</v>
      </c>
      <c r="E50" s="112">
        <v>11564</v>
      </c>
      <c r="F50" s="112">
        <v>20404</v>
      </c>
      <c r="G50" s="112">
        <v>15640</v>
      </c>
      <c r="H50" s="112">
        <v>13799</v>
      </c>
      <c r="I50" s="112">
        <v>11326</v>
      </c>
      <c r="J50" s="112">
        <v>10916</v>
      </c>
      <c r="K50" s="112">
        <v>10615</v>
      </c>
      <c r="L50" s="112">
        <v>10516</v>
      </c>
      <c r="M50" s="112">
        <v>9297</v>
      </c>
      <c r="N50" s="112">
        <v>8040</v>
      </c>
      <c r="O50" s="112">
        <v>7391</v>
      </c>
      <c r="P50" s="112">
        <v>5130</v>
      </c>
      <c r="Q50" s="112">
        <v>3943</v>
      </c>
      <c r="R50" s="112">
        <v>2820</v>
      </c>
      <c r="S50" s="112">
        <v>1620</v>
      </c>
      <c r="T50" s="112">
        <v>778</v>
      </c>
      <c r="U50" s="112" t="s">
        <v>54</v>
      </c>
    </row>
    <row r="51" spans="1:22">
      <c r="A51" s="111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>
        <f>SUM(B29:T50)</f>
        <v>1525561</v>
      </c>
      <c r="U51" s="112"/>
    </row>
    <row r="52" spans="1:22">
      <c r="A52" s="111" t="s">
        <v>234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</row>
    <row r="53" spans="1:22">
      <c r="A53" s="111" t="s">
        <v>70</v>
      </c>
      <c r="B53" s="111" t="s">
        <v>215</v>
      </c>
      <c r="C53" s="111" t="s">
        <v>216</v>
      </c>
      <c r="D53" s="111" t="s">
        <v>217</v>
      </c>
      <c r="E53" s="111" t="s">
        <v>218</v>
      </c>
      <c r="F53" s="111" t="s">
        <v>219</v>
      </c>
      <c r="G53" s="111" t="s">
        <v>220</v>
      </c>
      <c r="H53" s="111" t="s">
        <v>221</v>
      </c>
      <c r="I53" s="111" t="s">
        <v>222</v>
      </c>
      <c r="J53" s="111" t="s">
        <v>223</v>
      </c>
      <c r="K53" s="111" t="s">
        <v>224</v>
      </c>
      <c r="L53" s="111" t="s">
        <v>225</v>
      </c>
      <c r="M53" s="111" t="s">
        <v>226</v>
      </c>
      <c r="N53" s="111" t="s">
        <v>227</v>
      </c>
      <c r="O53" s="111" t="s">
        <v>228</v>
      </c>
      <c r="P53" s="111" t="s">
        <v>229</v>
      </c>
      <c r="Q53" s="111" t="s">
        <v>230</v>
      </c>
      <c r="R53" s="111" t="s">
        <v>231</v>
      </c>
      <c r="S53" s="111" t="s">
        <v>232</v>
      </c>
      <c r="T53" s="111" t="s">
        <v>121</v>
      </c>
      <c r="U53" s="111" t="s">
        <v>70</v>
      </c>
    </row>
    <row r="54" spans="1:22">
      <c r="A54" s="111" t="s">
        <v>28</v>
      </c>
      <c r="B54" s="113">
        <v>1911</v>
      </c>
      <c r="C54" s="113">
        <v>1863</v>
      </c>
      <c r="D54" s="113">
        <v>1693</v>
      </c>
      <c r="E54" s="113">
        <v>1748</v>
      </c>
      <c r="F54" s="113">
        <v>1660</v>
      </c>
      <c r="G54" s="113">
        <v>1922</v>
      </c>
      <c r="H54" s="113">
        <v>1769</v>
      </c>
      <c r="I54" s="113">
        <v>1758</v>
      </c>
      <c r="J54" s="113">
        <v>2050</v>
      </c>
      <c r="K54" s="113">
        <v>2380</v>
      </c>
      <c r="L54" s="113">
        <v>2519</v>
      </c>
      <c r="M54" s="113">
        <v>2477</v>
      </c>
      <c r="N54" s="113">
        <v>2414</v>
      </c>
      <c r="O54" s="113">
        <v>2770</v>
      </c>
      <c r="P54" s="113">
        <v>2175</v>
      </c>
      <c r="Q54" s="113">
        <v>1639</v>
      </c>
      <c r="R54" s="113">
        <v>1304</v>
      </c>
      <c r="S54" s="113">
        <v>880</v>
      </c>
      <c r="T54" s="113">
        <v>595</v>
      </c>
      <c r="U54" s="113" t="s">
        <v>27</v>
      </c>
      <c r="V54" s="111"/>
    </row>
    <row r="55" spans="1:22">
      <c r="A55" s="111" t="s">
        <v>30</v>
      </c>
      <c r="B55" s="112">
        <v>3117</v>
      </c>
      <c r="C55" s="112">
        <v>3453</v>
      </c>
      <c r="D55" s="112">
        <v>2961</v>
      </c>
      <c r="E55" s="112">
        <v>3824</v>
      </c>
      <c r="F55" s="112">
        <v>5164</v>
      </c>
      <c r="G55" s="112">
        <v>3473</v>
      </c>
      <c r="H55" s="112">
        <v>2889</v>
      </c>
      <c r="I55" s="112">
        <v>2840</v>
      </c>
      <c r="J55" s="112">
        <v>3573</v>
      </c>
      <c r="K55" s="112">
        <v>4058</v>
      </c>
      <c r="L55" s="112">
        <v>4172</v>
      </c>
      <c r="M55" s="112">
        <v>3908</v>
      </c>
      <c r="N55" s="112">
        <v>3704</v>
      </c>
      <c r="O55" s="112">
        <v>4129</v>
      </c>
      <c r="P55" s="112">
        <v>3341</v>
      </c>
      <c r="Q55" s="112">
        <v>2573</v>
      </c>
      <c r="R55" s="112">
        <v>2230</v>
      </c>
      <c r="S55" s="112">
        <v>1566</v>
      </c>
      <c r="T55" s="112">
        <v>1034</v>
      </c>
      <c r="U55" s="112" t="s">
        <v>29</v>
      </c>
    </row>
    <row r="56" spans="1:22">
      <c r="A56" s="111" t="s">
        <v>32</v>
      </c>
      <c r="B56" s="112">
        <v>2799</v>
      </c>
      <c r="C56" s="112">
        <v>2970</v>
      </c>
      <c r="D56" s="112">
        <v>2780</v>
      </c>
      <c r="E56" s="112">
        <v>3036</v>
      </c>
      <c r="F56" s="112">
        <v>2603</v>
      </c>
      <c r="G56" s="112">
        <v>2846</v>
      </c>
      <c r="H56" s="112">
        <v>2850</v>
      </c>
      <c r="I56" s="112">
        <v>2693</v>
      </c>
      <c r="J56" s="112">
        <v>3403</v>
      </c>
      <c r="K56" s="112">
        <v>4134</v>
      </c>
      <c r="L56" s="112">
        <v>4440</v>
      </c>
      <c r="M56" s="112">
        <v>4178</v>
      </c>
      <c r="N56" s="112">
        <v>4051</v>
      </c>
      <c r="O56" s="112">
        <v>4590</v>
      </c>
      <c r="P56" s="112">
        <v>3646</v>
      </c>
      <c r="Q56" s="112">
        <v>3083</v>
      </c>
      <c r="R56" s="112">
        <v>2514</v>
      </c>
      <c r="S56" s="112">
        <v>1827</v>
      </c>
      <c r="T56" s="112">
        <v>1238</v>
      </c>
      <c r="U56" s="112" t="s">
        <v>31</v>
      </c>
    </row>
    <row r="57" spans="1:22">
      <c r="A57" s="111" t="s">
        <v>34</v>
      </c>
      <c r="B57" s="112">
        <v>2711</v>
      </c>
      <c r="C57" s="112">
        <v>2709</v>
      </c>
      <c r="D57" s="112">
        <v>2357</v>
      </c>
      <c r="E57" s="112">
        <v>2543</v>
      </c>
      <c r="F57" s="112">
        <v>2449</v>
      </c>
      <c r="G57" s="112">
        <v>2575</v>
      </c>
      <c r="H57" s="112">
        <v>2148</v>
      </c>
      <c r="I57" s="112">
        <v>2465</v>
      </c>
      <c r="J57" s="112">
        <v>2957</v>
      </c>
      <c r="K57" s="112">
        <v>3504</v>
      </c>
      <c r="L57" s="112">
        <v>3564</v>
      </c>
      <c r="M57" s="112">
        <v>3133</v>
      </c>
      <c r="N57" s="112">
        <v>3188</v>
      </c>
      <c r="O57" s="112">
        <v>3532</v>
      </c>
      <c r="P57" s="112">
        <v>2801</v>
      </c>
      <c r="Q57" s="112">
        <v>2161</v>
      </c>
      <c r="R57" s="112">
        <v>1570</v>
      </c>
      <c r="S57" s="112">
        <v>1031</v>
      </c>
      <c r="T57" s="112">
        <v>613</v>
      </c>
      <c r="U57" s="112" t="s">
        <v>33</v>
      </c>
    </row>
    <row r="58" spans="1:22">
      <c r="A58" s="111" t="s">
        <v>36</v>
      </c>
      <c r="B58" s="112">
        <v>4200</v>
      </c>
      <c r="C58" s="112">
        <v>4674</v>
      </c>
      <c r="D58" s="112">
        <v>4218</v>
      </c>
      <c r="E58" s="112">
        <v>4190</v>
      </c>
      <c r="F58" s="112">
        <v>4116</v>
      </c>
      <c r="G58" s="112">
        <v>4579</v>
      </c>
      <c r="H58" s="112">
        <v>4413</v>
      </c>
      <c r="I58" s="112">
        <v>4354</v>
      </c>
      <c r="J58" s="112">
        <v>5232</v>
      </c>
      <c r="K58" s="112">
        <v>5949</v>
      </c>
      <c r="L58" s="112">
        <v>5914</v>
      </c>
      <c r="M58" s="112">
        <v>4916</v>
      </c>
      <c r="N58" s="112">
        <v>4840</v>
      </c>
      <c r="O58" s="112">
        <v>5322</v>
      </c>
      <c r="P58" s="112">
        <v>3931</v>
      </c>
      <c r="Q58" s="112">
        <v>3052</v>
      </c>
      <c r="R58" s="112">
        <v>2056</v>
      </c>
      <c r="S58" s="112">
        <v>1349</v>
      </c>
      <c r="T58" s="112">
        <v>843</v>
      </c>
      <c r="U58" s="112" t="s">
        <v>35</v>
      </c>
    </row>
    <row r="59" spans="1:22">
      <c r="A59" s="111" t="s">
        <v>38</v>
      </c>
      <c r="B59" s="112">
        <v>4236</v>
      </c>
      <c r="C59" s="112">
        <v>4214</v>
      </c>
      <c r="D59" s="112">
        <v>3606</v>
      </c>
      <c r="E59" s="112">
        <v>3577</v>
      </c>
      <c r="F59" s="112">
        <v>3747</v>
      </c>
      <c r="G59" s="112">
        <v>4297</v>
      </c>
      <c r="H59" s="112">
        <v>4521</v>
      </c>
      <c r="I59" s="112">
        <v>3846</v>
      </c>
      <c r="J59" s="112">
        <v>4543</v>
      </c>
      <c r="K59" s="112">
        <v>5027</v>
      </c>
      <c r="L59" s="112">
        <v>4791</v>
      </c>
      <c r="M59" s="112">
        <v>4296</v>
      </c>
      <c r="N59" s="112">
        <v>4094</v>
      </c>
      <c r="O59" s="112">
        <v>4231</v>
      </c>
      <c r="P59" s="112">
        <v>3238</v>
      </c>
      <c r="Q59" s="112">
        <v>2392</v>
      </c>
      <c r="R59" s="112">
        <v>1879</v>
      </c>
      <c r="S59" s="112">
        <v>1218</v>
      </c>
      <c r="T59" s="112">
        <v>781</v>
      </c>
      <c r="U59" s="112" t="s">
        <v>37</v>
      </c>
    </row>
    <row r="60" spans="1:22">
      <c r="A60" s="111" t="s">
        <v>39</v>
      </c>
      <c r="B60" s="112">
        <v>3067</v>
      </c>
      <c r="C60" s="112">
        <v>3364</v>
      </c>
      <c r="D60" s="112">
        <v>3359</v>
      </c>
      <c r="E60" s="112">
        <v>3604</v>
      </c>
      <c r="F60" s="112">
        <v>2928</v>
      </c>
      <c r="G60" s="112">
        <v>3011</v>
      </c>
      <c r="H60" s="112">
        <v>2876</v>
      </c>
      <c r="I60" s="112">
        <v>3074</v>
      </c>
      <c r="J60" s="112">
        <v>3942</v>
      </c>
      <c r="K60" s="112">
        <v>4739</v>
      </c>
      <c r="L60" s="112">
        <v>5098</v>
      </c>
      <c r="M60" s="112">
        <v>4888</v>
      </c>
      <c r="N60" s="112">
        <v>4987</v>
      </c>
      <c r="O60" s="112">
        <v>5240</v>
      </c>
      <c r="P60" s="112">
        <v>4226</v>
      </c>
      <c r="Q60" s="112">
        <v>3156</v>
      </c>
      <c r="R60" s="112">
        <v>2514</v>
      </c>
      <c r="S60" s="112">
        <v>1689</v>
      </c>
      <c r="T60" s="112">
        <v>1215</v>
      </c>
      <c r="U60" s="112" t="s">
        <v>22</v>
      </c>
    </row>
    <row r="61" spans="1:22">
      <c r="A61" s="111" t="s">
        <v>41</v>
      </c>
      <c r="B61" s="112">
        <v>1686</v>
      </c>
      <c r="C61" s="112">
        <v>1680</v>
      </c>
      <c r="D61" s="112">
        <v>1654</v>
      </c>
      <c r="E61" s="112">
        <v>2454</v>
      </c>
      <c r="F61" s="112">
        <v>4102</v>
      </c>
      <c r="G61" s="112">
        <v>1592</v>
      </c>
      <c r="H61" s="112">
        <v>1501</v>
      </c>
      <c r="I61" s="112">
        <v>1603</v>
      </c>
      <c r="J61" s="112">
        <v>1853</v>
      </c>
      <c r="K61" s="112">
        <v>2264</v>
      </c>
      <c r="L61" s="112">
        <v>2567</v>
      </c>
      <c r="M61" s="112">
        <v>2492</v>
      </c>
      <c r="N61" s="112">
        <v>2544</v>
      </c>
      <c r="O61" s="112">
        <v>2695</v>
      </c>
      <c r="P61" s="112">
        <v>2062</v>
      </c>
      <c r="Q61" s="112">
        <v>1637</v>
      </c>
      <c r="R61" s="112">
        <v>1304</v>
      </c>
      <c r="S61" s="112">
        <v>866</v>
      </c>
      <c r="T61" s="112">
        <v>611</v>
      </c>
      <c r="U61" s="112" t="s">
        <v>40</v>
      </c>
    </row>
    <row r="62" spans="1:22">
      <c r="A62" s="111" t="s">
        <v>43</v>
      </c>
      <c r="B62" s="112">
        <v>3221</v>
      </c>
      <c r="C62" s="112">
        <v>3321</v>
      </c>
      <c r="D62" s="112">
        <v>3211</v>
      </c>
      <c r="E62" s="112">
        <v>3391</v>
      </c>
      <c r="F62" s="112">
        <v>3139</v>
      </c>
      <c r="G62" s="112">
        <v>3216</v>
      </c>
      <c r="H62" s="112">
        <v>2949</v>
      </c>
      <c r="I62" s="112">
        <v>2979</v>
      </c>
      <c r="J62" s="112">
        <v>3669</v>
      </c>
      <c r="K62" s="112">
        <v>4187</v>
      </c>
      <c r="L62" s="112">
        <v>4749</v>
      </c>
      <c r="M62" s="112">
        <v>4256</v>
      </c>
      <c r="N62" s="112">
        <v>4355</v>
      </c>
      <c r="O62" s="112">
        <v>4825</v>
      </c>
      <c r="P62" s="112">
        <v>3780</v>
      </c>
      <c r="Q62" s="112">
        <v>2839</v>
      </c>
      <c r="R62" s="112">
        <v>2290</v>
      </c>
      <c r="S62" s="112">
        <v>1471</v>
      </c>
      <c r="T62" s="112">
        <v>1010</v>
      </c>
      <c r="U62" s="112" t="s">
        <v>42</v>
      </c>
    </row>
    <row r="63" spans="1:22">
      <c r="A63" s="111" t="s">
        <v>45</v>
      </c>
      <c r="B63" s="112">
        <v>4856</v>
      </c>
      <c r="C63" s="112">
        <v>5183</v>
      </c>
      <c r="D63" s="112">
        <v>4819</v>
      </c>
      <c r="E63" s="112">
        <v>5027</v>
      </c>
      <c r="F63" s="112">
        <v>5024</v>
      </c>
      <c r="G63" s="112">
        <v>5113</v>
      </c>
      <c r="H63" s="112">
        <v>4887</v>
      </c>
      <c r="I63" s="112">
        <v>4947</v>
      </c>
      <c r="J63" s="112">
        <v>5550</v>
      </c>
      <c r="K63" s="112">
        <v>6604</v>
      </c>
      <c r="L63" s="112">
        <v>7072</v>
      </c>
      <c r="M63" s="112">
        <v>6726</v>
      </c>
      <c r="N63" s="112">
        <v>6279</v>
      </c>
      <c r="O63" s="112">
        <v>6656</v>
      </c>
      <c r="P63" s="112">
        <v>5208</v>
      </c>
      <c r="Q63" s="112">
        <v>3960</v>
      </c>
      <c r="R63" s="112">
        <v>3116</v>
      </c>
      <c r="S63" s="112">
        <v>2104</v>
      </c>
      <c r="T63" s="112">
        <v>1371</v>
      </c>
      <c r="U63" s="112" t="s">
        <v>44</v>
      </c>
    </row>
    <row r="64" spans="1:22">
      <c r="A64" s="111" t="s">
        <v>47</v>
      </c>
      <c r="B64" s="112">
        <v>6261</v>
      </c>
      <c r="C64" s="112">
        <v>6326</v>
      </c>
      <c r="D64" s="112">
        <v>6093</v>
      </c>
      <c r="E64" s="112">
        <v>7274</v>
      </c>
      <c r="F64" s="112">
        <v>9432</v>
      </c>
      <c r="G64" s="112">
        <v>7874</v>
      </c>
      <c r="H64" s="112">
        <v>7177</v>
      </c>
      <c r="I64" s="112">
        <v>6629</v>
      </c>
      <c r="J64" s="112">
        <v>7653</v>
      </c>
      <c r="K64" s="112">
        <v>7911</v>
      </c>
      <c r="L64" s="112">
        <v>8121</v>
      </c>
      <c r="M64" s="112">
        <v>7674</v>
      </c>
      <c r="N64" s="112">
        <v>7043</v>
      </c>
      <c r="O64" s="112">
        <v>7481</v>
      </c>
      <c r="P64" s="112">
        <v>5841</v>
      </c>
      <c r="Q64" s="112">
        <v>4842</v>
      </c>
      <c r="R64" s="112">
        <v>3789</v>
      </c>
      <c r="S64" s="112">
        <v>2490</v>
      </c>
      <c r="T64" s="112">
        <v>1606</v>
      </c>
      <c r="U64" s="112" t="s">
        <v>46</v>
      </c>
    </row>
    <row r="65" spans="1:21">
      <c r="A65" s="111" t="s">
        <v>49</v>
      </c>
      <c r="B65" s="112">
        <v>3733</v>
      </c>
      <c r="C65" s="112">
        <v>3864</v>
      </c>
      <c r="D65" s="112">
        <v>3686</v>
      </c>
      <c r="E65" s="112">
        <v>3893</v>
      </c>
      <c r="F65" s="112">
        <v>3835</v>
      </c>
      <c r="G65" s="112">
        <v>4270</v>
      </c>
      <c r="H65" s="112">
        <v>4396</v>
      </c>
      <c r="I65" s="112">
        <v>4116</v>
      </c>
      <c r="J65" s="112">
        <v>4555</v>
      </c>
      <c r="K65" s="112">
        <v>5005</v>
      </c>
      <c r="L65" s="112">
        <v>5352</v>
      </c>
      <c r="M65" s="112">
        <v>4929</v>
      </c>
      <c r="N65" s="112">
        <v>4566</v>
      </c>
      <c r="O65" s="112">
        <v>4616</v>
      </c>
      <c r="P65" s="112">
        <v>3531</v>
      </c>
      <c r="Q65" s="112">
        <v>2884</v>
      </c>
      <c r="R65" s="112">
        <v>2150</v>
      </c>
      <c r="S65" s="112">
        <v>1445</v>
      </c>
      <c r="T65" s="112">
        <v>947</v>
      </c>
      <c r="U65" s="112" t="s">
        <v>48</v>
      </c>
    </row>
    <row r="66" spans="1:21">
      <c r="A66" s="111" t="s">
        <v>51</v>
      </c>
      <c r="B66" s="112">
        <v>3943</v>
      </c>
      <c r="C66" s="112">
        <v>3793</v>
      </c>
      <c r="D66" s="112">
        <v>3878</v>
      </c>
      <c r="E66" s="112">
        <v>3802</v>
      </c>
      <c r="F66" s="112">
        <v>3695</v>
      </c>
      <c r="G66" s="112">
        <v>4380</v>
      </c>
      <c r="H66" s="112">
        <v>4233</v>
      </c>
      <c r="I66" s="112">
        <v>4149</v>
      </c>
      <c r="J66" s="112">
        <v>4847</v>
      </c>
      <c r="K66" s="112">
        <v>5339</v>
      </c>
      <c r="L66" s="112">
        <v>5399</v>
      </c>
      <c r="M66" s="112">
        <v>4663</v>
      </c>
      <c r="N66" s="112">
        <v>4352</v>
      </c>
      <c r="O66" s="112">
        <v>4532</v>
      </c>
      <c r="P66" s="112">
        <v>3642</v>
      </c>
      <c r="Q66" s="112">
        <v>2976</v>
      </c>
      <c r="R66" s="112">
        <v>2111</v>
      </c>
      <c r="S66" s="112">
        <v>1286</v>
      </c>
      <c r="T66" s="112">
        <v>756</v>
      </c>
      <c r="U66" s="112" t="s">
        <v>50</v>
      </c>
    </row>
    <row r="67" spans="1:21">
      <c r="A67" s="111" t="s">
        <v>53</v>
      </c>
      <c r="B67" s="112">
        <v>3503</v>
      </c>
      <c r="C67" s="112">
        <v>3760</v>
      </c>
      <c r="D67" s="112">
        <v>3520</v>
      </c>
      <c r="E67" s="112">
        <v>3721</v>
      </c>
      <c r="F67" s="112">
        <v>3278</v>
      </c>
      <c r="G67" s="112">
        <v>3328</v>
      </c>
      <c r="H67" s="112">
        <v>3494</v>
      </c>
      <c r="I67" s="112">
        <v>3838</v>
      </c>
      <c r="J67" s="112">
        <v>4388</v>
      </c>
      <c r="K67" s="112">
        <v>4746</v>
      </c>
      <c r="L67" s="112">
        <v>4898</v>
      </c>
      <c r="M67" s="112">
        <v>4487</v>
      </c>
      <c r="N67" s="112">
        <v>4191</v>
      </c>
      <c r="O67" s="112">
        <v>4239</v>
      </c>
      <c r="P67" s="112">
        <v>3348</v>
      </c>
      <c r="Q67" s="112">
        <v>2643</v>
      </c>
      <c r="R67" s="112">
        <v>1910</v>
      </c>
      <c r="S67" s="112">
        <v>1343</v>
      </c>
      <c r="T67" s="112">
        <v>960</v>
      </c>
      <c r="U67" s="112" t="s">
        <v>52</v>
      </c>
    </row>
    <row r="68" spans="1:21">
      <c r="A68" s="111" t="s">
        <v>57</v>
      </c>
      <c r="B68" s="112">
        <v>7089</v>
      </c>
      <c r="C68" s="112">
        <v>6920</v>
      </c>
      <c r="D68" s="112">
        <v>6353</v>
      </c>
      <c r="E68" s="112">
        <v>6953</v>
      </c>
      <c r="F68" s="112">
        <v>7972</v>
      </c>
      <c r="G68" s="112">
        <v>8058</v>
      </c>
      <c r="H68" s="112">
        <v>7726</v>
      </c>
      <c r="I68" s="112">
        <v>6902</v>
      </c>
      <c r="J68" s="112">
        <v>7757</v>
      </c>
      <c r="K68" s="112">
        <v>8414</v>
      </c>
      <c r="L68" s="112">
        <v>8367</v>
      </c>
      <c r="M68" s="112">
        <v>7495</v>
      </c>
      <c r="N68" s="112">
        <v>6800</v>
      </c>
      <c r="O68" s="112">
        <v>7425</v>
      </c>
      <c r="P68" s="112">
        <v>5631</v>
      </c>
      <c r="Q68" s="112">
        <v>4433</v>
      </c>
      <c r="R68" s="112">
        <v>3280</v>
      </c>
      <c r="S68" s="112">
        <v>2027</v>
      </c>
      <c r="T68" s="112">
        <v>1364</v>
      </c>
      <c r="U68" s="112" t="s">
        <v>56</v>
      </c>
    </row>
    <row r="69" spans="1:21">
      <c r="A69" s="111" t="s">
        <v>59</v>
      </c>
      <c r="B69" s="112">
        <v>1783</v>
      </c>
      <c r="C69" s="112">
        <v>1737</v>
      </c>
      <c r="D69" s="112">
        <v>1507</v>
      </c>
      <c r="E69" s="112">
        <v>1756</v>
      </c>
      <c r="F69" s="112">
        <v>1866</v>
      </c>
      <c r="G69" s="112">
        <v>2144</v>
      </c>
      <c r="H69" s="112">
        <v>2103</v>
      </c>
      <c r="I69" s="112">
        <v>1624</v>
      </c>
      <c r="J69" s="112">
        <v>1831</v>
      </c>
      <c r="K69" s="112">
        <v>2163</v>
      </c>
      <c r="L69" s="112">
        <v>2247</v>
      </c>
      <c r="M69" s="112">
        <v>1937</v>
      </c>
      <c r="N69" s="112">
        <v>1755</v>
      </c>
      <c r="O69" s="112">
        <v>1748</v>
      </c>
      <c r="P69" s="112">
        <v>1350</v>
      </c>
      <c r="Q69" s="112">
        <v>1079</v>
      </c>
      <c r="R69" s="112">
        <v>806</v>
      </c>
      <c r="S69" s="112">
        <v>490</v>
      </c>
      <c r="T69" s="112">
        <v>328</v>
      </c>
      <c r="U69" s="112" t="s">
        <v>58</v>
      </c>
    </row>
    <row r="70" spans="1:21">
      <c r="A70" s="111" t="s">
        <v>61</v>
      </c>
      <c r="B70" s="112">
        <v>5276</v>
      </c>
      <c r="C70" s="112">
        <v>5434</v>
      </c>
      <c r="D70" s="112">
        <v>4930</v>
      </c>
      <c r="E70" s="112">
        <v>5268</v>
      </c>
      <c r="F70" s="112">
        <v>5265</v>
      </c>
      <c r="G70" s="112">
        <v>5952</v>
      </c>
      <c r="H70" s="112">
        <v>6055</v>
      </c>
      <c r="I70" s="112">
        <v>5487</v>
      </c>
      <c r="J70" s="112">
        <v>6012</v>
      </c>
      <c r="K70" s="112">
        <v>6662</v>
      </c>
      <c r="L70" s="112">
        <v>6438</v>
      </c>
      <c r="M70" s="112">
        <v>5727</v>
      </c>
      <c r="N70" s="112">
        <v>5355</v>
      </c>
      <c r="O70" s="112">
        <v>5648</v>
      </c>
      <c r="P70" s="112">
        <v>4362</v>
      </c>
      <c r="Q70" s="112">
        <v>3322</v>
      </c>
      <c r="R70" s="112">
        <v>2493</v>
      </c>
      <c r="S70" s="112">
        <v>1375</v>
      </c>
      <c r="T70" s="112">
        <v>889</v>
      </c>
      <c r="U70" s="112" t="s">
        <v>60</v>
      </c>
    </row>
    <row r="71" spans="1:21">
      <c r="A71" s="111" t="s">
        <v>63</v>
      </c>
      <c r="B71" s="112">
        <v>1863</v>
      </c>
      <c r="C71" s="112">
        <v>1959</v>
      </c>
      <c r="D71" s="112">
        <v>1718</v>
      </c>
      <c r="E71" s="112">
        <v>2058</v>
      </c>
      <c r="F71" s="112">
        <v>2282</v>
      </c>
      <c r="G71" s="112">
        <v>2444</v>
      </c>
      <c r="H71" s="112">
        <v>2111</v>
      </c>
      <c r="I71" s="112">
        <v>1929</v>
      </c>
      <c r="J71" s="112">
        <v>2154</v>
      </c>
      <c r="K71" s="112">
        <v>2789</v>
      </c>
      <c r="L71" s="112">
        <v>2532</v>
      </c>
      <c r="M71" s="112">
        <v>2252</v>
      </c>
      <c r="N71" s="112">
        <v>2005</v>
      </c>
      <c r="O71" s="112">
        <v>2157</v>
      </c>
      <c r="P71" s="112">
        <v>1775</v>
      </c>
      <c r="Q71" s="112">
        <v>1327</v>
      </c>
      <c r="R71" s="112">
        <v>963</v>
      </c>
      <c r="S71" s="112">
        <v>602</v>
      </c>
      <c r="T71" s="112">
        <v>422</v>
      </c>
      <c r="U71" s="112" t="s">
        <v>62</v>
      </c>
    </row>
    <row r="72" spans="1:21">
      <c r="A72" s="111" t="s">
        <v>65</v>
      </c>
      <c r="B72" s="112">
        <v>2592</v>
      </c>
      <c r="C72" s="112">
        <v>2677</v>
      </c>
      <c r="D72" s="112">
        <v>2402</v>
      </c>
      <c r="E72" s="112">
        <v>2717</v>
      </c>
      <c r="F72" s="112">
        <v>2804</v>
      </c>
      <c r="G72" s="112">
        <v>3061</v>
      </c>
      <c r="H72" s="112">
        <v>2820</v>
      </c>
      <c r="I72" s="112">
        <v>2637</v>
      </c>
      <c r="J72" s="112">
        <v>2789</v>
      </c>
      <c r="K72" s="112">
        <v>3373</v>
      </c>
      <c r="L72" s="112">
        <v>3428</v>
      </c>
      <c r="M72" s="112">
        <v>3006</v>
      </c>
      <c r="N72" s="112">
        <v>2823</v>
      </c>
      <c r="O72" s="112">
        <v>2888</v>
      </c>
      <c r="P72" s="112">
        <v>2278</v>
      </c>
      <c r="Q72" s="112">
        <v>1806</v>
      </c>
      <c r="R72" s="112">
        <v>1451</v>
      </c>
      <c r="S72" s="112">
        <v>877</v>
      </c>
      <c r="T72" s="112">
        <v>620</v>
      </c>
      <c r="U72" s="112" t="s">
        <v>64</v>
      </c>
    </row>
    <row r="73" spans="1:21">
      <c r="A73" s="111" t="s">
        <v>67</v>
      </c>
      <c r="B73" s="112">
        <v>2111</v>
      </c>
      <c r="C73" s="112">
        <v>2447</v>
      </c>
      <c r="D73" s="112">
        <v>2446</v>
      </c>
      <c r="E73" s="112">
        <v>2638</v>
      </c>
      <c r="F73" s="112">
        <v>2004</v>
      </c>
      <c r="G73" s="112">
        <v>2013</v>
      </c>
      <c r="H73" s="112">
        <v>2034</v>
      </c>
      <c r="I73" s="112">
        <v>2324</v>
      </c>
      <c r="J73" s="112">
        <v>2991</v>
      </c>
      <c r="K73" s="112">
        <v>3709</v>
      </c>
      <c r="L73" s="112">
        <v>3921</v>
      </c>
      <c r="M73" s="112">
        <v>3302</v>
      </c>
      <c r="N73" s="112">
        <v>3296</v>
      </c>
      <c r="O73" s="112">
        <v>3451</v>
      </c>
      <c r="P73" s="112">
        <v>2721</v>
      </c>
      <c r="Q73" s="112">
        <v>2080</v>
      </c>
      <c r="R73" s="112">
        <v>1606</v>
      </c>
      <c r="S73" s="112">
        <v>1093</v>
      </c>
      <c r="T73" s="112">
        <v>792</v>
      </c>
      <c r="U73" s="112" t="s">
        <v>66</v>
      </c>
    </row>
    <row r="74" spans="1:21">
      <c r="A74" s="111" t="s">
        <v>69</v>
      </c>
      <c r="B74" s="112">
        <v>4780</v>
      </c>
      <c r="C74" s="112">
        <v>4633</v>
      </c>
      <c r="D74" s="112">
        <v>4254</v>
      </c>
      <c r="E74" s="112">
        <v>4460</v>
      </c>
      <c r="F74" s="112">
        <v>4833</v>
      </c>
      <c r="G74" s="112">
        <v>5047</v>
      </c>
      <c r="H74" s="112">
        <v>5063</v>
      </c>
      <c r="I74" s="112">
        <v>4452</v>
      </c>
      <c r="J74" s="112">
        <v>4636</v>
      </c>
      <c r="K74" s="112">
        <v>5494</v>
      </c>
      <c r="L74" s="112">
        <v>5256</v>
      </c>
      <c r="M74" s="112">
        <v>4473</v>
      </c>
      <c r="N74" s="112">
        <v>3746</v>
      </c>
      <c r="O74" s="112">
        <v>4123</v>
      </c>
      <c r="P74" s="112">
        <v>3249</v>
      </c>
      <c r="Q74" s="112">
        <v>2675</v>
      </c>
      <c r="R74" s="112">
        <v>2021</v>
      </c>
      <c r="S74" s="112">
        <v>1244</v>
      </c>
      <c r="T74" s="112">
        <v>861</v>
      </c>
      <c r="U74" s="112" t="s">
        <v>68</v>
      </c>
    </row>
    <row r="75" spans="1:21">
      <c r="A75" s="111" t="s">
        <v>55</v>
      </c>
      <c r="B75" s="112">
        <v>11106</v>
      </c>
      <c r="C75" s="112">
        <v>10666</v>
      </c>
      <c r="D75" s="112">
        <v>8753</v>
      </c>
      <c r="E75" s="112">
        <v>12210</v>
      </c>
      <c r="F75" s="112">
        <v>21407</v>
      </c>
      <c r="G75" s="112">
        <v>14542</v>
      </c>
      <c r="H75" s="112">
        <v>13238</v>
      </c>
      <c r="I75" s="112">
        <v>11342</v>
      </c>
      <c r="J75" s="112">
        <v>10424</v>
      </c>
      <c r="K75" s="112">
        <v>11001</v>
      </c>
      <c r="L75" s="112">
        <v>11178</v>
      </c>
      <c r="M75" s="112">
        <v>9569</v>
      </c>
      <c r="N75" s="112">
        <v>8268</v>
      </c>
      <c r="O75" s="112">
        <v>7626</v>
      </c>
      <c r="P75" s="112">
        <v>5890</v>
      </c>
      <c r="Q75" s="112">
        <v>5261</v>
      </c>
      <c r="R75" s="112">
        <v>4319</v>
      </c>
      <c r="S75" s="112">
        <v>2889</v>
      </c>
      <c r="T75" s="112">
        <v>1921</v>
      </c>
      <c r="U75" s="112" t="s">
        <v>54</v>
      </c>
    </row>
    <row r="76" spans="1:21">
      <c r="A76" s="111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>
        <f>SUM(B54:T75)</f>
        <v>1573525</v>
      </c>
      <c r="U76" s="112"/>
    </row>
    <row r="77" spans="1:21">
      <c r="A77" s="111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/>
  </sheetViews>
  <sheetFormatPr defaultRowHeight="15"/>
  <cols>
    <col min="1" max="16384" width="9.140625" style="152"/>
  </cols>
  <sheetData/>
  <sheetProtection password="BC27" sheet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936CDCDE8F8418920914B3BFFF19C" ma:contentTypeVersion="12" ma:contentTypeDescription="Create a new document." ma:contentTypeScope="" ma:versionID="46c72e1d8acebe914fcc9e5d023688fa">
  <xsd:schema xmlns:xsd="http://www.w3.org/2001/XMLSchema" xmlns:xs="http://www.w3.org/2001/XMLSchema" xmlns:p="http://schemas.microsoft.com/office/2006/metadata/properties" xmlns:ns3="b7e247b7-cca8-429f-8688-16f83c8fba5f" xmlns:ns4="f30bebb2-c01f-48d0-81da-dc8b123879c2" targetNamespace="http://schemas.microsoft.com/office/2006/metadata/properties" ma:root="true" ma:fieldsID="2636daf5d91eb1d20b88f36be9bc60cc" ns3:_="" ns4:_="">
    <xsd:import namespace="b7e247b7-cca8-429f-8688-16f83c8fba5f"/>
    <xsd:import namespace="f30bebb2-c01f-48d0-81da-dc8b123879c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247b7-cca8-429f-8688-16f83c8fba5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0bebb2-c01f-48d0-81da-dc8b12387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04D89BC-3719-4409-AB90-CFE9D37AE7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247b7-cca8-429f-8688-16f83c8fba5f"/>
    <ds:schemaRef ds:uri="f30bebb2-c01f-48d0-81da-dc8b12387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25FCD44-18CF-42A3-8784-8C47894AC9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E52448-D88E-441A-87A4-A57391B5BF77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  <ds:schemaRef ds:uri="f30bebb2-c01f-48d0-81da-dc8b123879c2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b7e247b7-cca8-429f-8688-16f83c8fba5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Output</vt:lpstr>
      <vt:lpstr>How to copy charts &amp; tables</vt:lpstr>
      <vt:lpstr>ALL CONTROLS</vt:lpstr>
      <vt:lpstr>Interactive pyramid data</vt:lpstr>
      <vt:lpstr>2015 SQL Output</vt:lpstr>
      <vt:lpstr>Interpretation guide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2016-06-17T07:27:16Z</dcterms:created>
  <dcterms:modified xsi:type="dcterms:W3CDTF">2021-07-12T11:03:00Z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0x01010072F936CDCDE8F8418920914B3BFFF19C</vt:lpwstr>
  </property>
</Properties>
</file>